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sintef.sharepoint.com/teams/work-7734/Delte Dokumenter/Arbeidskatalog/H2 - kalkulator/"/>
    </mc:Choice>
  </mc:AlternateContent>
  <xr:revisionPtr revIDLastSave="0" documentId="8_{5E90848B-5FBD-4BE4-9AE1-BB41B826BA80}" xr6:coauthVersionLast="45" xr6:coauthVersionMax="45" xr10:uidLastSave="{00000000-0000-0000-0000-000000000000}"/>
  <bookViews>
    <workbookView xWindow="28680" yWindow="-120" windowWidth="29040" windowHeight="17640" activeTab="2" xr2:uid="{00000000-000D-0000-FFFF-FFFF00000000}"/>
  </bookViews>
  <sheets>
    <sheet name="Tetthet" sheetId="4" r:id="rId1"/>
    <sheet name="Termisk motstand" sheetId="1" r:id="rId2"/>
    <sheet name="Tabeller" sheetId="2" r:id="rId3"/>
    <sheet name="Utregning" sheetId="3" r:id="rId4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" l="1"/>
  <c r="I24" i="2" s="1"/>
  <c r="J21" i="2"/>
  <c r="J24" i="2" s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3" i="2" l="1"/>
  <c r="K21" i="2"/>
  <c r="K24" i="2" s="1"/>
  <c r="I23" i="2"/>
  <c r="J23" i="2"/>
  <c r="D13" i="4" l="1"/>
  <c r="D15" i="4" s="1"/>
  <c r="D7" i="1" s="1"/>
  <c r="D12" i="4"/>
  <c r="D11" i="4"/>
  <c r="D14" i="4" l="1"/>
  <c r="D16" i="4" s="1"/>
  <c r="D6" i="1" s="1"/>
  <c r="C35" i="1" l="1"/>
  <c r="D16" i="1" l="1"/>
  <c r="D17" i="1" s="1"/>
  <c r="D5" i="1"/>
  <c r="D20" i="1" s="1"/>
  <c r="D15" i="1"/>
  <c r="B39" i="3" l="1"/>
  <c r="C39" i="3" s="1"/>
  <c r="D39" i="3" s="1"/>
  <c r="B32" i="3"/>
  <c r="C32" i="3" s="1"/>
  <c r="D32" i="3" s="1"/>
  <c r="B31" i="3"/>
  <c r="C31" i="3" s="1"/>
  <c r="D31" i="3" s="1"/>
  <c r="B33" i="3"/>
  <c r="C33" i="3" s="1"/>
  <c r="D33" i="3" s="1"/>
  <c r="B37" i="3"/>
  <c r="C37" i="3" s="1"/>
  <c r="D37" i="3" s="1"/>
  <c r="B34" i="3"/>
  <c r="C34" i="3" s="1"/>
  <c r="D34" i="3" s="1"/>
  <c r="B36" i="3"/>
  <c r="C36" i="3" s="1"/>
  <c r="D36" i="3" s="1"/>
  <c r="B30" i="3"/>
  <c r="C30" i="3" s="1"/>
  <c r="D30" i="3" s="1"/>
  <c r="B40" i="3"/>
  <c r="C40" i="3" s="1"/>
  <c r="D40" i="3" s="1"/>
  <c r="B41" i="3"/>
  <c r="C41" i="3" s="1"/>
  <c r="D41" i="3" s="1"/>
  <c r="B35" i="3"/>
  <c r="C35" i="3" s="1"/>
  <c r="D35" i="3" s="1"/>
  <c r="B29" i="3"/>
  <c r="C29" i="3" s="1"/>
  <c r="D29" i="3" s="1"/>
  <c r="B28" i="3"/>
  <c r="C28" i="3" s="1"/>
  <c r="D28" i="3" s="1"/>
  <c r="B44" i="3"/>
  <c r="C44" i="3" s="1"/>
  <c r="D44" i="3" s="1"/>
  <c r="B43" i="3"/>
  <c r="C43" i="3" s="1"/>
  <c r="D43" i="3" s="1"/>
  <c r="B38" i="3"/>
  <c r="C38" i="3" s="1"/>
  <c r="D38" i="3" s="1"/>
  <c r="B42" i="3"/>
  <c r="C42" i="3" s="1"/>
  <c r="D42" i="3" s="1"/>
  <c r="D18" i="1"/>
  <c r="I2" i="3" a="1"/>
  <c r="I2" i="3" s="1"/>
  <c r="A45" i="3" s="1"/>
  <c r="B5" i="3"/>
  <c r="B13" i="3"/>
  <c r="B21" i="3"/>
  <c r="B17" i="3"/>
  <c r="B9" i="3"/>
  <c r="B25" i="3"/>
  <c r="B6" i="3"/>
  <c r="B10" i="3"/>
  <c r="B14" i="3"/>
  <c r="C14" i="3" s="1"/>
  <c r="D14" i="3" s="1"/>
  <c r="B18" i="3"/>
  <c r="B22" i="3"/>
  <c r="B26" i="3"/>
  <c r="B3" i="3"/>
  <c r="B7" i="3"/>
  <c r="B11" i="3"/>
  <c r="B15" i="3"/>
  <c r="B19" i="3"/>
  <c r="B23" i="3"/>
  <c r="C23" i="3" s="1"/>
  <c r="D23" i="3" s="1"/>
  <c r="B27" i="3"/>
  <c r="B4" i="3"/>
  <c r="C4" i="3" s="1"/>
  <c r="D4" i="3" s="1"/>
  <c r="B8" i="3"/>
  <c r="B12" i="3"/>
  <c r="B16" i="3"/>
  <c r="B20" i="3"/>
  <c r="C20" i="3" s="1"/>
  <c r="D20" i="3" s="1"/>
  <c r="B24" i="3"/>
  <c r="C24" i="3" s="1"/>
  <c r="D24" i="3" s="1"/>
  <c r="C5" i="3" l="1"/>
  <c r="D5" i="3" s="1"/>
  <c r="C15" i="3"/>
  <c r="D15" i="3" s="1"/>
  <c r="C10" i="3"/>
  <c r="D10" i="3" s="1"/>
  <c r="C11" i="3"/>
  <c r="D11" i="3" s="1"/>
  <c r="C6" i="3"/>
  <c r="D6" i="3" s="1"/>
  <c r="C19" i="3"/>
  <c r="D19" i="3" s="1"/>
  <c r="C16" i="3"/>
  <c r="D16" i="3" s="1"/>
  <c r="C12" i="3"/>
  <c r="D12" i="3" s="1"/>
  <c r="C7" i="3"/>
  <c r="D7" i="3" s="1"/>
  <c r="C25" i="3"/>
  <c r="D25" i="3" s="1"/>
  <c r="C8" i="3"/>
  <c r="D8" i="3" s="1"/>
  <c r="C3" i="3"/>
  <c r="D3" i="3" s="1"/>
  <c r="C9" i="3"/>
  <c r="D9" i="3" s="1"/>
  <c r="C26" i="3"/>
  <c r="D26" i="3" s="1"/>
  <c r="C17" i="3"/>
  <c r="D17" i="3" s="1"/>
  <c r="B33" i="1"/>
  <c r="B45" i="3"/>
  <c r="C45" i="3" s="1"/>
  <c r="D45" i="3" s="1"/>
  <c r="C27" i="3"/>
  <c r="D27" i="3" s="1"/>
  <c r="C22" i="3"/>
  <c r="D22" i="3" s="1"/>
  <c r="C21" i="3"/>
  <c r="D21" i="3" s="1"/>
  <c r="C18" i="3"/>
  <c r="D18" i="3" s="1"/>
  <c r="C13" i="3"/>
  <c r="D13" i="3" s="1"/>
  <c r="D14" i="1"/>
  <c r="D13" i="1"/>
  <c r="B2" i="3" l="1"/>
  <c r="D22" i="1"/>
  <c r="D23" i="1"/>
  <c r="D21" i="1"/>
  <c r="E45" i="3" l="1"/>
  <c r="F45" i="3" s="1"/>
  <c r="C33" i="1" s="1"/>
  <c r="E43" i="3"/>
  <c r="F43" i="3" s="1"/>
  <c r="E29" i="3"/>
  <c r="F29" i="3" s="1"/>
  <c r="E39" i="3"/>
  <c r="F39" i="3" s="1"/>
  <c r="E37" i="3"/>
  <c r="F37" i="3" s="1"/>
  <c r="E36" i="3"/>
  <c r="F36" i="3" s="1"/>
  <c r="E33" i="3"/>
  <c r="F33" i="3" s="1"/>
  <c r="E30" i="3"/>
  <c r="F30" i="3" s="1"/>
  <c r="E35" i="3"/>
  <c r="F35" i="3" s="1"/>
  <c r="E42" i="3"/>
  <c r="F42" i="3" s="1"/>
  <c r="E44" i="3"/>
  <c r="F44" i="3" s="1"/>
  <c r="E31" i="3"/>
  <c r="F31" i="3" s="1"/>
  <c r="E34" i="3"/>
  <c r="F34" i="3" s="1"/>
  <c r="E41" i="3"/>
  <c r="F41" i="3" s="1"/>
  <c r="E38" i="3"/>
  <c r="F38" i="3" s="1"/>
  <c r="E32" i="3"/>
  <c r="F32" i="3" s="1"/>
  <c r="E40" i="3"/>
  <c r="F40" i="3" s="1"/>
  <c r="E28" i="3"/>
  <c r="F28" i="3" s="1"/>
  <c r="C2" i="3"/>
  <c r="D2" i="3" s="1"/>
  <c r="E2" i="3" s="1"/>
  <c r="F2" i="3" s="1"/>
  <c r="C29" i="1" s="1"/>
  <c r="D25" i="1"/>
  <c r="D24" i="1"/>
  <c r="E27" i="3"/>
  <c r="F27" i="3" s="1"/>
  <c r="E19" i="3"/>
  <c r="F19" i="3" s="1"/>
  <c r="E4" i="3"/>
  <c r="F4" i="3" s="1"/>
  <c r="E6" i="3"/>
  <c r="F6" i="3" s="1"/>
  <c r="E26" i="3"/>
  <c r="F26" i="3" s="1"/>
  <c r="E20" i="3"/>
  <c r="F20" i="3" s="1"/>
  <c r="E7" i="3"/>
  <c r="F7" i="3" s="1"/>
  <c r="C31" i="1" s="1"/>
  <c r="E11" i="3"/>
  <c r="F11" i="3" s="1"/>
  <c r="E21" i="3"/>
  <c r="F21" i="3" s="1"/>
  <c r="E8" i="3"/>
  <c r="F8" i="3" s="1"/>
  <c r="E15" i="3"/>
  <c r="F15" i="3" s="1"/>
  <c r="E14" i="3"/>
  <c r="F14" i="3" s="1"/>
  <c r="E24" i="3"/>
  <c r="F24" i="3" s="1"/>
  <c r="E18" i="3"/>
  <c r="F18" i="3" s="1"/>
  <c r="E9" i="3"/>
  <c r="F9" i="3" s="1"/>
  <c r="E23" i="3"/>
  <c r="F23" i="3" s="1"/>
  <c r="E5" i="3"/>
  <c r="F5" i="3" s="1"/>
  <c r="E12" i="3"/>
  <c r="F12" i="3" s="1"/>
  <c r="C32" i="1" s="1"/>
  <c r="E16" i="3"/>
  <c r="F16" i="3" s="1"/>
  <c r="E17" i="3"/>
  <c r="F17" i="3" s="1"/>
  <c r="E25" i="3"/>
  <c r="F25" i="3" s="1"/>
  <c r="E10" i="3"/>
  <c r="F10" i="3" s="1"/>
  <c r="E22" i="3"/>
  <c r="F22" i="3" s="1"/>
  <c r="E13" i="3"/>
  <c r="F13" i="3" s="1"/>
  <c r="E3" i="3"/>
  <c r="F3" i="3" s="1"/>
  <c r="C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Espen Eberg</author>
  </authors>
  <commentList>
    <comment ref="A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Espen Eberg:</t>
        </r>
        <r>
          <rPr>
            <sz val="9"/>
            <color indexed="81"/>
            <rFont val="Tahoma"/>
            <family val="2"/>
          </rPr>
          <t xml:space="preserve">
Vurder om valg av mineral skal fjernes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Espen Eberg</author>
  </authors>
  <commentList>
    <comment ref="H2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Espen Eberg:</t>
        </r>
        <r>
          <rPr>
            <sz val="9"/>
            <color indexed="81"/>
            <rFont val="Tahoma"/>
            <family val="2"/>
          </rPr>
          <t xml:space="preserve">
Lar ukjent være medianverdi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<sst xmlns="http://schemas.openxmlformats.org/spreadsheetml/2006/main" count="165" uniqueCount="135">
  <si>
    <t>Termisk ledningsevne for mineral</t>
  </si>
  <si>
    <t>k</t>
  </si>
  <si>
    <t>Materialparameter</t>
  </si>
  <si>
    <t>Mineral</t>
  </si>
  <si>
    <t>Basalt</t>
  </si>
  <si>
    <t>Gabbro</t>
  </si>
  <si>
    <t>Granitt</t>
  </si>
  <si>
    <t>Trap rock</t>
  </si>
  <si>
    <t>h</t>
  </si>
  <si>
    <t>Grus og grov sand</t>
  </si>
  <si>
    <t>Medium og fin sand</t>
  </si>
  <si>
    <t>Masse</t>
  </si>
  <si>
    <t>k_tint</t>
  </si>
  <si>
    <t>k_frossen</t>
  </si>
  <si>
    <t>c</t>
  </si>
  <si>
    <t>k_mineral</t>
  </si>
  <si>
    <t>k_s</t>
  </si>
  <si>
    <t>Massetype</t>
  </si>
  <si>
    <t>n</t>
  </si>
  <si>
    <t>Sr</t>
  </si>
  <si>
    <t>Relativ metning</t>
  </si>
  <si>
    <t>k_sat</t>
  </si>
  <si>
    <t>r_vann</t>
  </si>
  <si>
    <t>Knust stein og grus</t>
  </si>
  <si>
    <t>Naturlig sand</t>
  </si>
  <si>
    <t>k_dry</t>
  </si>
  <si>
    <t>k_r</t>
  </si>
  <si>
    <t>Termisk ledningsevne for mineralsammensetning</t>
  </si>
  <si>
    <t>Termisk ledningsevne for vannmettet masse</t>
  </si>
  <si>
    <t>Termisk ledningevne for tørr masse</t>
  </si>
  <si>
    <t>Relativ termisk ledningsevne</t>
  </si>
  <si>
    <t>w</t>
  </si>
  <si>
    <t>kr</t>
  </si>
  <si>
    <t>kg/m^3</t>
  </si>
  <si>
    <t>Vanninnhold i vektprosent ved ønsket verdi</t>
  </si>
  <si>
    <r>
      <t xml:space="preserve">r </t>
    </r>
    <r>
      <rPr>
        <sz val="11"/>
        <color theme="1"/>
        <rFont val="Calibri Light"/>
        <family val="2"/>
        <scheme val="major"/>
      </rPr>
      <t>[g/cm^3]</t>
    </r>
  </si>
  <si>
    <t>Porøsitet, andelen hulrom/luft i massen</t>
  </si>
  <si>
    <t>Tetthet til partiklene i massen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</si>
  <si>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_s</t>
    </r>
  </si>
  <si>
    <t>Densitet</t>
  </si>
  <si>
    <t>Tørr tetthet</t>
  </si>
  <si>
    <t>Våt tetthet</t>
  </si>
  <si>
    <t>Kornstørrelse</t>
  </si>
  <si>
    <t>Type masse</t>
  </si>
  <si>
    <t>Ukjent</t>
  </si>
  <si>
    <t>Anortisitt</t>
  </si>
  <si>
    <t>Diabas</t>
  </si>
  <si>
    <t>Dolomitt</t>
  </si>
  <si>
    <t>Gneis</t>
  </si>
  <si>
    <t>Kalkstein</t>
  </si>
  <si>
    <t>Marmor</t>
  </si>
  <si>
    <t>Kvartsitt</t>
  </si>
  <si>
    <t>Sandstein</t>
  </si>
  <si>
    <t>Skifer</t>
  </si>
  <si>
    <t>Leirskifer/gråberg</t>
  </si>
  <si>
    <t>Syenitt</t>
  </si>
  <si>
    <t>Fuktinnhold</t>
  </si>
  <si>
    <t>Parameter</t>
  </si>
  <si>
    <t>Finnes i CE-deklarasjon</t>
  </si>
  <si>
    <t>Materialparameter som velges fra rullegardin. 0/4 mm er "Medium og fin sand"</t>
  </si>
  <si>
    <t>Materialparameter som velges fra rullegardin.</t>
  </si>
  <si>
    <t>Sett inn verdier her</t>
  </si>
  <si>
    <t>Fukt [w%]</t>
  </si>
  <si>
    <t>Beregnet termisk motstand for det valgte fuktinnholdet</t>
  </si>
  <si>
    <r>
      <rPr>
        <sz val="11"/>
        <rFont val="Symbol"/>
        <family val="1"/>
        <charset val="2"/>
      </rPr>
      <t>r</t>
    </r>
    <r>
      <rPr>
        <sz val="11"/>
        <rFont val="Calibri"/>
        <family val="2"/>
        <scheme val="minor"/>
      </rPr>
      <t>_s  [g/cm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]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</si>
  <si>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_tørr [g/cm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</si>
  <si>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_våt [g/cm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</si>
  <si>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t>w [%]</t>
  </si>
  <si>
    <t>Symbol [enhet]</t>
  </si>
  <si>
    <t>Kommentar</t>
  </si>
  <si>
    <t>Resultater</t>
  </si>
  <si>
    <t>Input</t>
  </si>
  <si>
    <t>Fuktinnhold  ved måletidspunkt</t>
  </si>
  <si>
    <t>Velg bergart fra rullegardin. Ukjent er standardverdi, siden denne sjelden er bestemt nøyaktig</t>
  </si>
  <si>
    <t xml:space="preserve"> Alle tall og tabeller hentet fra:</t>
  </si>
  <si>
    <t>A generalized thermal conductivity model for soils and construction materials</t>
  </si>
  <si>
    <t>Jean Côté and , Jean-Marie Konrad</t>
  </si>
  <si>
    <t>Canadian Geotechnical Journal, 2005, 42(2): 443-458, https://doi.org/10.1139/t04-106</t>
  </si>
  <si>
    <t>Termisk ledningsevne</t>
  </si>
  <si>
    <t>Volum av sylinder</t>
  </si>
  <si>
    <t>V</t>
  </si>
  <si>
    <t>Vekt: Tom sylinder</t>
  </si>
  <si>
    <t>Vekt: Sylinder + våt masse</t>
  </si>
  <si>
    <t>Vekt: Panne + våt masse</t>
  </si>
  <si>
    <t>Vekt: Panne + tørr masse</t>
  </si>
  <si>
    <t>Vekt vann</t>
  </si>
  <si>
    <t>Vekt tørr masse</t>
  </si>
  <si>
    <t>Vekt våt masse</t>
  </si>
  <si>
    <t>Vanninnhold</t>
  </si>
  <si>
    <t>Vekt: Panne</t>
  </si>
  <si>
    <t>Måling</t>
  </si>
  <si>
    <t>Enhet</t>
  </si>
  <si>
    <t>Sett inn tall</t>
  </si>
  <si>
    <t>Symbol</t>
  </si>
  <si>
    <t>g</t>
  </si>
  <si>
    <t>Beregning</t>
  </si>
  <si>
    <r>
      <t>M</t>
    </r>
    <r>
      <rPr>
        <vertAlign val="subscript"/>
        <sz val="11"/>
        <color theme="1"/>
        <rFont val="Calibri"/>
        <family val="2"/>
        <scheme val="minor"/>
      </rPr>
      <t>vann</t>
    </r>
  </si>
  <si>
    <r>
      <t>M</t>
    </r>
    <r>
      <rPr>
        <vertAlign val="subscript"/>
        <sz val="11"/>
        <color theme="1"/>
        <rFont val="Calibri"/>
        <family val="2"/>
        <scheme val="minor"/>
      </rPr>
      <t>tørr</t>
    </r>
  </si>
  <si>
    <r>
      <t>M</t>
    </r>
    <r>
      <rPr>
        <vertAlign val="subscript"/>
        <sz val="11"/>
        <color theme="1"/>
        <rFont val="Calibri"/>
        <family val="2"/>
        <scheme val="minor"/>
      </rPr>
      <t>våt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</si>
  <si>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3</t>
    </r>
  </si>
  <si>
    <t>®</t>
  </si>
  <si>
    <r>
      <t>M</t>
    </r>
    <r>
      <rPr>
        <vertAlign val="subscript"/>
        <sz val="11"/>
        <color theme="1"/>
        <rFont val="Calibri"/>
        <family val="2"/>
        <scheme val="minor"/>
      </rPr>
      <t>1</t>
    </r>
  </si>
  <si>
    <r>
      <t>M</t>
    </r>
    <r>
      <rPr>
        <vertAlign val="subscript"/>
        <sz val="11"/>
        <color theme="1"/>
        <rFont val="Calibri"/>
        <family val="2"/>
        <scheme val="minor"/>
      </rPr>
      <t>2</t>
    </r>
  </si>
  <si>
    <r>
      <t>M</t>
    </r>
    <r>
      <rPr>
        <vertAlign val="subscript"/>
        <sz val="11"/>
        <color theme="1"/>
        <rFont val="Calibri"/>
        <family val="2"/>
        <scheme val="minor"/>
      </rPr>
      <t>3</t>
    </r>
  </si>
  <si>
    <r>
      <t>M</t>
    </r>
    <r>
      <rPr>
        <vertAlign val="subscript"/>
        <sz val="11"/>
        <color theme="1"/>
        <rFont val="Calibri"/>
        <family val="2"/>
        <scheme val="minor"/>
      </rPr>
      <t>4</t>
    </r>
  </si>
  <si>
    <r>
      <t>M</t>
    </r>
    <r>
      <rPr>
        <vertAlign val="subscript"/>
        <sz val="11"/>
        <color theme="1"/>
        <rFont val="Calibri"/>
        <family val="2"/>
        <scheme val="minor"/>
      </rPr>
      <t>5</t>
    </r>
  </si>
  <si>
    <t>Overføres automatisk til arkfane "Termisk motstand"</t>
  </si>
  <si>
    <r>
      <rPr>
        <b/>
        <sz val="11"/>
        <color theme="1"/>
        <rFont val="Symbol"/>
        <family val="1"/>
        <charset val="2"/>
      </rPr>
      <t>r</t>
    </r>
    <r>
      <rPr>
        <b/>
        <vertAlign val="subscript"/>
        <sz val="11"/>
        <color theme="1"/>
        <rFont val="Calibri"/>
        <family val="2"/>
        <scheme val="minor"/>
      </rPr>
      <t>våt</t>
    </r>
  </si>
  <si>
    <r>
      <t>g/cm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</si>
  <si>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rPr>
        <b/>
        <sz val="11"/>
        <color theme="1"/>
        <rFont val="Symbol"/>
        <family val="1"/>
        <charset val="2"/>
      </rPr>
      <t>r</t>
    </r>
    <r>
      <rPr>
        <b/>
        <vertAlign val="subscript"/>
        <sz val="11"/>
        <color theme="1"/>
        <rFont val="Calibri"/>
        <family val="2"/>
        <scheme val="minor"/>
      </rPr>
      <t>tørr</t>
    </r>
  </si>
  <si>
    <t>Median</t>
  </si>
  <si>
    <r>
      <t xml:space="preserve">Her settes målinger av volum og vekt inn som beskrevet i Rapport </t>
    </r>
    <r>
      <rPr>
        <i/>
        <sz val="11"/>
        <color theme="1"/>
        <rFont val="Calibri"/>
        <family val="2"/>
        <scheme val="minor"/>
      </rPr>
      <t xml:space="preserve">Termiske egenskaper i materialer for kabelforlegning </t>
    </r>
    <r>
      <rPr>
        <sz val="11"/>
        <color theme="1"/>
        <rFont val="Calibri"/>
        <family val="2"/>
        <scheme val="minor"/>
      </rPr>
      <t>(R2018:00709)</t>
    </r>
    <r>
      <rPr>
        <i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og gjengitt i tekstboks til høyre.</t>
    </r>
  </si>
  <si>
    <r>
      <t xml:space="preserve">Måling utføres i henhold til anvisning, </t>
    </r>
    <r>
      <rPr>
        <b/>
        <sz val="11"/>
        <color theme="1"/>
        <rFont val="Calibri"/>
        <family val="2"/>
        <scheme val="minor"/>
      </rPr>
      <t>hentes automatisk fra arkfane "Tetthet"</t>
    </r>
  </si>
  <si>
    <t>Termisk resistivitet</t>
  </si>
  <si>
    <t>R</t>
  </si>
  <si>
    <t>k = 1/R</t>
  </si>
  <si>
    <t>R for utvalgte fuktnivåer</t>
  </si>
  <si>
    <t>(m.K)/W</t>
  </si>
  <si>
    <t>W/(m.K)</t>
  </si>
  <si>
    <t>R [m.K/W]</t>
  </si>
  <si>
    <t>Tetthet</t>
  </si>
  <si>
    <t>Material</t>
  </si>
  <si>
    <t>ks [W/m.K]</t>
  </si>
  <si>
    <t>Gjenomsnitt</t>
  </si>
  <si>
    <t>Tabell 1: Tetthet, termisk ledningsevne  og termisk resistivitet for mineraler</t>
  </si>
  <si>
    <t>Tabell 2: Tetthet for vann</t>
  </si>
  <si>
    <t>Tabell 3: Empiriske parametere</t>
  </si>
  <si>
    <t>Tabell 4: Empiriske parametere</t>
  </si>
  <si>
    <t>Sr korrigert</t>
  </si>
  <si>
    <t>w_max</t>
  </si>
  <si>
    <t>Rs [m.K/W]</t>
  </si>
  <si>
    <t>Mettet masse</t>
  </si>
  <si>
    <t>silt og leirholdig jord</t>
  </si>
  <si>
    <t>matjord/myr</t>
  </si>
  <si>
    <t>Organisk jord og myr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</si>
</sst>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Symbol"/>
      <family val="1"/>
      <charset val="2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333333"/>
      <name val="Arial"/>
      <family val="2"/>
    </font>
    <font>
      <sz val="7"/>
      <color rgb="FF333333"/>
      <name val="Arial"/>
      <family val="2"/>
    </font>
    <font>
      <u/>
      <sz val="11"/>
      <color theme="1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2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1"/>
      <charset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3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Font="1" applyFill="1" applyBorder="1"/>
    <xf numFmtId="2" fontId="0" fillId="0" borderId="0" xfId="0" applyNumberFormat="1"/>
    <xf numFmtId="0" fontId="2" fillId="0" borderId="0" xfId="0" applyFont="1" applyBorder="1"/>
    <xf numFmtId="0" fontId="0" fillId="2" borderId="0" xfId="0" applyFill="1" applyBorder="1"/>
    <xf numFmtId="0" fontId="0" fillId="2" borderId="0" xfId="0" applyFont="1" applyFill="1" applyBorder="1"/>
    <xf numFmtId="0" fontId="0" fillId="0" borderId="0" xfId="0" applyFill="1" applyBorder="1"/>
    <xf numFmtId="1" fontId="0" fillId="0" borderId="0" xfId="0" applyNumberFormat="1" applyFont="1"/>
    <xf numFmtId="0" fontId="4" fillId="0" borderId="0" xfId="0" applyFont="1"/>
    <xf numFmtId="0" fontId="0" fillId="4" borderId="0" xfId="0" applyFont="1" applyFill="1" applyBorder="1"/>
    <xf numFmtId="0" fontId="1" fillId="0" borderId="0" xfId="0" applyFont="1" applyFill="1" applyBorder="1"/>
    <xf numFmtId="0" fontId="0" fillId="5" borderId="0" xfId="0" applyFont="1" applyFill="1" applyBorder="1"/>
    <xf numFmtId="0" fontId="0" fillId="9" borderId="0" xfId="0" applyFont="1" applyFill="1" applyBorder="1"/>
    <xf numFmtId="0" fontId="8" fillId="2" borderId="0" xfId="0" applyFont="1" applyFill="1" applyBorder="1"/>
    <xf numFmtId="0" fontId="7" fillId="11" borderId="0" xfId="0" applyFont="1" applyFill="1" applyBorder="1"/>
    <xf numFmtId="0" fontId="1" fillId="11" borderId="0" xfId="0" applyFont="1" applyFill="1" applyBorder="1"/>
    <xf numFmtId="0" fontId="1" fillId="8" borderId="0" xfId="0" applyFont="1" applyFill="1" applyBorder="1"/>
    <xf numFmtId="0" fontId="1" fillId="3" borderId="0" xfId="0" applyFont="1" applyFill="1" applyBorder="1"/>
    <xf numFmtId="0" fontId="0" fillId="5" borderId="0" xfId="0" applyFill="1" applyBorder="1"/>
    <xf numFmtId="0" fontId="0" fillId="4" borderId="0" xfId="0" applyFill="1" applyBorder="1"/>
    <xf numFmtId="0" fontId="0" fillId="9" borderId="0" xfId="0" applyFill="1" applyBorder="1"/>
    <xf numFmtId="0" fontId="0" fillId="10" borderId="0" xfId="0" applyFill="1"/>
    <xf numFmtId="164" fontId="0" fillId="10" borderId="0" xfId="0" applyNumberFormat="1" applyFill="1"/>
    <xf numFmtId="0" fontId="0" fillId="2" borderId="0" xfId="0" applyFill="1"/>
    <xf numFmtId="164" fontId="0" fillId="2" borderId="0" xfId="0" applyNumberFormat="1" applyFill="1"/>
    <xf numFmtId="0" fontId="1" fillId="11" borderId="0" xfId="0" applyFont="1" applyFill="1"/>
    <xf numFmtId="0" fontId="3" fillId="2" borderId="0" xfId="0" applyFont="1" applyFill="1" applyBorder="1"/>
    <xf numFmtId="0" fontId="5" fillId="6" borderId="0" xfId="0" applyFont="1" applyFill="1"/>
    <xf numFmtId="0" fontId="6" fillId="0" borderId="0" xfId="0" applyFont="1"/>
    <xf numFmtId="0" fontId="6" fillId="6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/>
    <xf numFmtId="0" fontId="0" fillId="0" borderId="0" xfId="0" applyFont="1"/>
    <xf numFmtId="2" fontId="0" fillId="0" borderId="0" xfId="0" applyNumberFormat="1" applyFont="1"/>
    <xf numFmtId="0" fontId="5" fillId="6" borderId="0" xfId="0" applyFont="1" applyFill="1" applyAlignment="1"/>
    <xf numFmtId="0" fontId="0" fillId="12" borderId="0" xfId="0" applyFill="1"/>
    <xf numFmtId="0" fontId="0" fillId="0" borderId="0" xfId="0" applyFill="1"/>
    <xf numFmtId="0" fontId="1" fillId="5" borderId="4" xfId="0" applyFont="1" applyFill="1" applyBorder="1"/>
    <xf numFmtId="0" fontId="1" fillId="5" borderId="0" xfId="0" applyFont="1" applyFill="1" applyBorder="1"/>
    <xf numFmtId="0" fontId="1" fillId="7" borderId="5" xfId="0" applyFont="1" applyFill="1" applyBorder="1"/>
    <xf numFmtId="0" fontId="0" fillId="5" borderId="4" xfId="0" applyFill="1" applyBorder="1"/>
    <xf numFmtId="0" fontId="0" fillId="5" borderId="6" xfId="0" applyFill="1" applyBorder="1"/>
    <xf numFmtId="0" fontId="0" fillId="5" borderId="7" xfId="0" applyFill="1" applyBorder="1"/>
    <xf numFmtId="0" fontId="1" fillId="7" borderId="8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21" fillId="11" borderId="1" xfId="0" applyFont="1" applyFill="1" applyBorder="1"/>
    <xf numFmtId="0" fontId="21" fillId="11" borderId="6" xfId="0" applyFont="1" applyFill="1" applyBorder="1"/>
    <xf numFmtId="0" fontId="1" fillId="11" borderId="4" xfId="0" applyFont="1" applyFill="1" applyBorder="1"/>
    <xf numFmtId="0" fontId="23" fillId="11" borderId="0" xfId="0" applyFont="1" applyFill="1" applyBorder="1"/>
    <xf numFmtId="0" fontId="1" fillId="11" borderId="6" xfId="0" applyFont="1" applyFill="1" applyBorder="1"/>
    <xf numFmtId="0" fontId="23" fillId="11" borderId="7" xfId="0" applyFont="1" applyFill="1" applyBorder="1"/>
    <xf numFmtId="0" fontId="1" fillId="11" borderId="7" xfId="0" applyFont="1" applyFill="1" applyBorder="1"/>
    <xf numFmtId="0" fontId="1" fillId="11" borderId="8" xfId="0" applyFont="1" applyFill="1" applyBorder="1"/>
    <xf numFmtId="0" fontId="1" fillId="11" borderId="3" xfId="0" applyFont="1" applyFill="1" applyBorder="1"/>
    <xf numFmtId="2" fontId="1" fillId="11" borderId="5" xfId="0" applyNumberFormat="1" applyFont="1" applyFill="1" applyBorder="1"/>
    <xf numFmtId="2" fontId="1" fillId="11" borderId="8" xfId="0" applyNumberFormat="1" applyFont="1" applyFill="1" applyBorder="1"/>
    <xf numFmtId="9" fontId="0" fillId="2" borderId="5" xfId="1" applyFont="1" applyFill="1" applyBorder="1"/>
    <xf numFmtId="0" fontId="0" fillId="7" borderId="4" xfId="0" applyFill="1" applyBorder="1" applyAlignment="1">
      <alignment vertical="top" wrapText="1"/>
    </xf>
    <xf numFmtId="0" fontId="0" fillId="7" borderId="5" xfId="0" applyFill="1" applyBorder="1" applyAlignment="1">
      <alignment vertical="top" wrapText="1"/>
    </xf>
    <xf numFmtId="2" fontId="1" fillId="7" borderId="0" xfId="0" applyNumberFormat="1" applyFont="1" applyFill="1" applyBorder="1"/>
    <xf numFmtId="0" fontId="1" fillId="2" borderId="0" xfId="0" applyFont="1" applyFill="1"/>
    <xf numFmtId="9" fontId="1" fillId="2" borderId="0" xfId="1" applyFont="1" applyFill="1"/>
    <xf numFmtId="0" fontId="26" fillId="10" borderId="0" xfId="0" applyFont="1" applyFill="1"/>
    <xf numFmtId="164" fontId="26" fillId="10" borderId="0" xfId="0" applyNumberFormat="1" applyFont="1" applyFill="1"/>
    <xf numFmtId="0" fontId="26" fillId="10" borderId="0" xfId="0" applyFont="1" applyFill="1" applyBorder="1"/>
    <xf numFmtId="0" fontId="1" fillId="0" borderId="0" xfId="0" applyFont="1"/>
    <xf numFmtId="2" fontId="0" fillId="2" borderId="0" xfId="0" applyNumberFormat="1" applyFill="1"/>
    <xf numFmtId="2" fontId="0" fillId="12" borderId="0" xfId="0" applyNumberFormat="1" applyFill="1"/>
    <xf numFmtId="0" fontId="0" fillId="0" borderId="9" xfId="0" applyBorder="1"/>
    <xf numFmtId="2" fontId="0" fillId="0" borderId="9" xfId="0" applyNumberFormat="1" applyBorder="1"/>
    <xf numFmtId="0" fontId="0" fillId="11" borderId="0" xfId="0" applyFill="1"/>
    <xf numFmtId="0" fontId="22" fillId="0" borderId="1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7" borderId="1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7" fillId="11" borderId="0" xfId="0" applyFont="1" applyFill="1" applyAlignment="1">
      <alignment horizontal="center"/>
    </xf>
    <xf numFmtId="0" fontId="16" fillId="12" borderId="0" xfId="0" applyFont="1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18" fillId="12" borderId="0" xfId="2" applyFill="1" applyAlignment="1">
      <alignment horizontal="center" vertical="center" wrapText="1"/>
    </xf>
  </cellXfs>
  <cellStyles count="3">
    <cellStyle name="Hyperkobling" xfId="2" builtinId="8"/>
    <cellStyle name="Normal" xfId="0" builtinId="0"/>
    <cellStyle name="Prosent" xfId="1" builtinId="5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1600" b="1"/>
              <a:t>Termisk uttørkingskurve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Utregning!$E$1</c:f>
              <c:strCache>
                <c:ptCount val="1"/>
                <c:pt idx="0">
                  <c:v>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Utregning!$A$2:$A$45</c:f>
              <c:numCache>
                <c:formatCode>General</c:formatCode>
                <c:ptCount val="4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 formatCode="0.00">
                  <c:v>19.424338780735361</c:v>
                </c:pt>
              </c:numCache>
            </c:numRef>
          </c:xVal>
          <c:yVal>
            <c:numRef>
              <c:f>Utregning!$F$2:$F$45</c:f>
              <c:numCache>
                <c:formatCode>General</c:formatCode>
                <c:ptCount val="44"/>
                <c:pt idx="0">
                  <c:v>6.9910365520443021</c:v>
                </c:pt>
                <c:pt idx="1">
                  <c:v>2.5884211061111917</c:v>
                </c:pt>
                <c:pt idx="2">
                  <c:v>1.7735614276295701</c:v>
                </c:pt>
                <c:pt idx="3">
                  <c:v>1.4305036789818755</c:v>
                </c:pt>
                <c:pt idx="4">
                  <c:v>1.241482255232075</c:v>
                </c:pt>
                <c:pt idx="5">
                  <c:v>1.121772507472875</c:v>
                </c:pt>
                <c:pt idx="6">
                  <c:v>1.0391576489521601</c:v>
                </c:pt>
                <c:pt idx="7">
                  <c:v>0.97870864649693379</c:v>
                </c:pt>
                <c:pt idx="8">
                  <c:v>0.93255991662029591</c:v>
                </c:pt>
                <c:pt idx="9">
                  <c:v>0.89617372852522859</c:v>
                </c:pt>
                <c:pt idx="10">
                  <c:v>0.86674857660903892</c:v>
                </c:pt>
                <c:pt idx="11">
                  <c:v>0.84246128449269342</c:v>
                </c:pt>
                <c:pt idx="12">
                  <c:v>0.82207423563161131</c:v>
                </c:pt>
                <c:pt idx="13">
                  <c:v>0.80471776175749488</c:v>
                </c:pt>
                <c:pt idx="14">
                  <c:v>0.78976286252515648</c:v>
                </c:pt>
                <c:pt idx="15">
                  <c:v>0.77674334084607466</c:v>
                </c:pt>
                <c:pt idx="16">
                  <c:v>0.76530633138156756</c:v>
                </c:pt>
                <c:pt idx="17">
                  <c:v>0.75517983515938136</c:v>
                </c:pt>
                <c:pt idx="18">
                  <c:v>0.74615080961005931</c:v>
                </c:pt>
                <c:pt idx="19">
                  <c:v>0.73805001598624731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0.73485883722010858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A2-4F75-9E6B-C2E260C50803}"/>
            </c:ext>
          </c:extLst>
        </c:ser>
        <c:ser>
          <c:idx val="1"/>
          <c:order val="1"/>
          <c:spPr>
            <a:ln w="412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82550">
                <a:solidFill>
                  <a:schemeClr val="accent2"/>
                </a:solidFill>
              </a:ln>
              <a:effectLst/>
            </c:spPr>
          </c:marker>
          <c:xVal>
            <c:numRef>
              <c:f>'Termisk motstand'!$D$10</c:f>
              <c:numCache>
                <c:formatCode>General</c:formatCode>
                <c:ptCount val="1"/>
                <c:pt idx="0">
                  <c:v>5</c:v>
                </c:pt>
              </c:numCache>
            </c:numRef>
          </c:xVal>
          <c:yVal>
            <c:numRef>
              <c:f>'Termisk motstand'!$D$24</c:f>
              <c:numCache>
                <c:formatCode>0.0</c:formatCode>
                <c:ptCount val="1"/>
                <c:pt idx="0">
                  <c:v>1.121772507472875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A2-4F75-9E6B-C2E260C50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5498616"/>
        <c:axId val="493872896"/>
      </c:scatterChart>
      <c:valAx>
        <c:axId val="46549861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100" b="1"/>
                  <a:t>Fuktinnhold [Vekt%]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93872896"/>
        <c:crosses val="autoZero"/>
        <c:crossBetween val="midCat"/>
      </c:valAx>
      <c:valAx>
        <c:axId val="49387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b-NO" sz="1100" b="1"/>
                  <a:t>R [(W.m)/K]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465498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279400</xdr:colOff>
      <xdr:row>1</xdr:row>
      <xdr:rowOff>12700</xdr:rowOff>
    </xdr:from>
    <xdr:to>
      <xdr:col>14</xdr:col>
      <xdr:colOff>539750</xdr:colOff>
      <xdr:row>40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2F4211-CF25-45A8-AA54-DAA7C138EC7B}"/>
            </a:ext>
          </a:extLst>
        </xdr:cNvPr>
        <xdr:cNvSpPr txBox="1"/>
      </xdr:nvSpPr>
      <xdr:spPr>
        <a:xfrm>
          <a:off x="7061200" y="311150"/>
          <a:ext cx="4527550" cy="745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spcBef>
              <a:spcPts val="100"/>
            </a:spcBef>
            <a:spcAft>
              <a:spcPts val="0"/>
            </a:spcAft>
            <a:tabLst>
              <a:tab pos="180340" algn="l"/>
            </a:tabLst>
          </a:pPr>
          <a:r>
            <a:rPr lang="nb-NO" sz="1800" b="1">
              <a:effectLst/>
              <a:latin typeface="+mn-lt"/>
              <a:ea typeface="Times New Roman" panose="02020603050405020304" pitchFamily="18" charset="0"/>
            </a:rPr>
            <a:t>Metode:</a:t>
          </a:r>
          <a:endParaRPr lang="nb-NO" sz="18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Bef>
              <a:spcPts val="100"/>
            </a:spcBef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Den tomme metallsylinderen veies (</a:t>
          </a:r>
          <a:r>
            <a:rPr lang="nb-NO" sz="1200" i="1">
              <a:effectLst/>
              <a:latin typeface="+mn-lt"/>
              <a:ea typeface="Times New Roman" panose="02020603050405020304" pitchFamily="18" charset="0"/>
            </a:rPr>
            <a:t>M</a:t>
          </a:r>
          <a:r>
            <a:rPr lang="nb-NO" sz="1200" i="1" baseline="-25000">
              <a:effectLst/>
              <a:latin typeface="+mn-lt"/>
              <a:ea typeface="Times New Roman" panose="02020603050405020304" pitchFamily="18" charset="0"/>
            </a:rPr>
            <a:t>1</a:t>
          </a: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).</a:t>
          </a:r>
        </a:p>
        <a:p>
          <a:pPr marL="342900" lvl="0" indent="-342900">
            <a:spcBef>
              <a:spcPts val="100"/>
            </a:spcBef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Metallsylinderen presses ned i massen et representativt sted i grøften og med tilstrekkelig avstand til kablene. Om det ikke er mulig å presse den ned med håndmakt, kan fjøl legges på toppen og det bankes forsiktig med en hammer. Sylinderen skal presses ned slik at toppen er 1-2 cm under overflaten. 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Deretter graves det rundt sylinderen, en rettholt/kniv/tommestokk brukes til å dra av overskytende masse fra oversiden av sylinderen og den løftes forsiktig ut. Overskytende masse dras av under sylinderen, eller om det er kommet hulrom i endene kan litt sand pakkes inn for hånd slik at endeflatene blir plane.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Den fulle metallsylinderen veies og vekten noteres (</a:t>
          </a:r>
          <a:r>
            <a:rPr lang="nb-NO" sz="1200" i="1">
              <a:effectLst/>
              <a:latin typeface="+mn-lt"/>
              <a:ea typeface="Times New Roman" panose="02020603050405020304" pitchFamily="18" charset="0"/>
            </a:rPr>
            <a:t>M</a:t>
          </a:r>
          <a:r>
            <a:rPr lang="nb-NO" sz="1200" i="1" baseline="-25000">
              <a:effectLst/>
              <a:latin typeface="+mn-lt"/>
              <a:ea typeface="Times New Roman" panose="02020603050405020304" pitchFamily="18" charset="0"/>
            </a:rPr>
            <a:t>2</a:t>
          </a: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)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Hvis massen skal analyseres et annet sted, tas massen ut av sylinderen og legges i en forseglet pose. Skal analysen gjøres på stedet, legges massen i beholderen tiltenkt veiing/varmebehandling.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Beholder (panne) for varmebehandling veies (</a:t>
          </a:r>
          <a:r>
            <a:rPr lang="nb-NO" sz="1200" i="1">
              <a:effectLst/>
              <a:latin typeface="+mn-lt"/>
              <a:ea typeface="Times New Roman" panose="02020603050405020304" pitchFamily="18" charset="0"/>
            </a:rPr>
            <a:t>M</a:t>
          </a:r>
          <a:r>
            <a:rPr lang="nb-NO" sz="1200" i="1" baseline="-25000">
              <a:effectLst/>
              <a:latin typeface="+mn-lt"/>
              <a:ea typeface="Times New Roman" panose="02020603050405020304" pitchFamily="18" charset="0"/>
            </a:rPr>
            <a:t>3</a:t>
          </a: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).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Massen tas ut fra plastposen, legges i beholderen og veies (</a:t>
          </a:r>
          <a:r>
            <a:rPr lang="nb-NO" sz="1200" i="1">
              <a:effectLst/>
              <a:latin typeface="+mn-lt"/>
              <a:ea typeface="Times New Roman" panose="02020603050405020304" pitchFamily="18" charset="0"/>
            </a:rPr>
            <a:t>M</a:t>
          </a:r>
          <a:r>
            <a:rPr lang="nb-NO" sz="1200" i="1" baseline="-25000">
              <a:effectLst/>
              <a:latin typeface="+mn-lt"/>
              <a:ea typeface="Times New Roman" panose="02020603050405020304" pitchFamily="18" charset="0"/>
            </a:rPr>
            <a:t>4</a:t>
          </a: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).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Massen varmebehandles i beholderen. Ved bruk av propanbluss kan det røres med metallskje for å få fortgang. Mikrobølgeovn er et godt og enkelt alternativ. Vei massen hvert 5. minutt. Når endringen er mindre enn 0,1% kan massen antas å være fullstendig tørket. Når man har erfaring, vil man etterhvert vite hvor mye varmebehandling som skal til, og man kan varme lenger enn 5 minutter av gangen.</a:t>
          </a: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endParaRPr lang="nb-NO" sz="1200">
            <a:effectLst/>
            <a:latin typeface="+mn-lt"/>
            <a:ea typeface="Times New Roman" panose="02020603050405020304" pitchFamily="18" charset="0"/>
          </a:endParaRPr>
        </a:p>
        <a:p>
          <a:pPr marL="342900" lvl="0" indent="-342900">
            <a:spcAft>
              <a:spcPts val="0"/>
            </a:spcAft>
            <a:buFont typeface="+mj-lt"/>
            <a:buAutoNum type="arabicParenR"/>
            <a:tabLst>
              <a:tab pos="180340" algn="l"/>
            </a:tabLst>
          </a:pP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Vei den tørre massen med beholder (</a:t>
          </a:r>
          <a:r>
            <a:rPr lang="nb-NO" sz="1200" i="1">
              <a:effectLst/>
              <a:latin typeface="+mn-lt"/>
              <a:ea typeface="Times New Roman" panose="02020603050405020304" pitchFamily="18" charset="0"/>
            </a:rPr>
            <a:t>M</a:t>
          </a:r>
          <a:r>
            <a:rPr lang="nb-NO" sz="1200" i="1" baseline="-25000">
              <a:effectLst/>
              <a:latin typeface="+mn-lt"/>
              <a:ea typeface="Times New Roman" panose="02020603050405020304" pitchFamily="18" charset="0"/>
            </a:rPr>
            <a:t>5</a:t>
          </a:r>
          <a:r>
            <a:rPr lang="nb-NO" sz="1200">
              <a:effectLst/>
              <a:latin typeface="+mn-lt"/>
              <a:ea typeface="Times New Roman" panose="02020603050405020304" pitchFamily="18" charset="0"/>
            </a:rPr>
            <a:t>). </a:t>
          </a:r>
        </a:p>
        <a:p>
          <a:endParaRPr lang="nb-N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150020</xdr:colOff>
      <xdr:row>25</xdr:row>
      <xdr:rowOff>178594</xdr:rowOff>
    </xdr:from>
    <xdr:to>
      <xdr:col>7</xdr:col>
      <xdr:colOff>5537994</xdr:colOff>
      <xdr:row>43</xdr:row>
      <xdr:rowOff>53181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5:K21" totalsRowShown="0">
  <autoFilter ref="H5:K21" xr:uid="{00000000-0009-0000-0100-000001000000}"/>
  <tableColumns count="4">
    <tableColumn id="1" xr3:uid="{00000000-0010-0000-0000-000001000000}" name="Mineral"/>
    <tableColumn id="2" xr3:uid="{00000000-0010-0000-0000-000002000000}" name="r [g/cm^3]"/>
    <tableColumn id="3" xr3:uid="{00000000-0010-0000-0000-000003000000}" name="ks [W/m.K]"/>
    <tableColumn id="4" xr3:uid="{23AC368C-3462-4A16-B5DC-6D9E17BA4686}" name="Rs [m.K/W]" dataDxfId="0">
      <calculatedColumnFormula>1/Table1[[#This Row],[ks '[W/m.K']]]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31:J35" totalsRowShown="0">
  <autoFilter ref="H31:J35" xr:uid="{00000000-0009-0000-0100-000002000000}"/>
  <tableColumns count="3">
    <tableColumn id="1" xr3:uid="{00000000-0010-0000-0100-000001000000}" name="Masse"/>
    <tableColumn id="2" xr3:uid="{00000000-0010-0000-0100-000002000000}" name="k_tint"/>
    <tableColumn id="3" xr3:uid="{00000000-0010-0000-0100-000003000000}" name="k_frosse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H38:J41" totalsRowShown="0">
  <autoFilter ref="H38:J41" xr:uid="{00000000-0009-0000-0100-000003000000}"/>
  <tableColumns count="3">
    <tableColumn id="1" xr3:uid="{00000000-0010-0000-0200-000001000000}" name="Massetype"/>
    <tableColumn id="2" xr3:uid="{00000000-0010-0000-0200-000002000000}" name="c"/>
    <tableColumn id="3" xr3:uid="{00000000-0010-0000-0200-000003000000}" name="h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H27:J28" totalsRowShown="0">
  <autoFilter ref="H27:J28" xr:uid="{00000000-0009-0000-0100-000004000000}"/>
  <tableColumns count="3">
    <tableColumn id="1" xr3:uid="{00000000-0010-0000-0300-000001000000}" name="Material"/>
    <tableColumn id="2" xr3:uid="{00000000-0010-0000-0300-000002000000}" name="Tetthet"/>
    <tableColumn id="3" xr3:uid="{00000000-0010-0000-0300-000003000000}" name="Paramet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oi.org/10.1139/t04-106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EE96-F223-47F5-AC23-9A962B308E87}">
  <dimension ref="A1:G16"/>
  <sheetViews>
    <sheetView workbookViewId="0">
      <selection activeCell="D6" sqref="D6"/>
    </sheetView>
  </sheetViews>
  <sheetFormatPr baseColWidth="10" defaultColWidth="9.140625" defaultRowHeight="15"/>
  <cols>
    <col min="1" max="1" width="22.5703125" bestFit="1" customWidth="1"/>
    <col min="2" max="2" width="6.85546875" bestFit="1" customWidth="1"/>
    <col min="3" max="3" width="5.7109375" bestFit="1" customWidth="1"/>
    <col min="4" max="4" width="10.28515625" bestFit="1" customWidth="1"/>
    <col min="5" max="5" width="1.42578125" customWidth="1"/>
    <col min="6" max="6" width="3.28515625" bestFit="1" customWidth="1"/>
    <col min="7" max="7" width="46.85546875" bestFit="1" customWidth="1"/>
  </cols>
  <sheetData>
    <row r="1" spans="1:7" ht="23.25">
      <c r="A1" s="74" t="s">
        <v>90</v>
      </c>
      <c r="B1" s="75"/>
      <c r="C1" s="75"/>
      <c r="D1" s="76"/>
    </row>
    <row r="2" spans="1:7" ht="14.65" customHeight="1">
      <c r="A2" s="39" t="s">
        <v>90</v>
      </c>
      <c r="B2" s="40" t="s">
        <v>93</v>
      </c>
      <c r="C2" s="40" t="s">
        <v>91</v>
      </c>
      <c r="D2" s="41" t="s">
        <v>92</v>
      </c>
      <c r="F2" s="80" t="s">
        <v>111</v>
      </c>
      <c r="G2" s="81"/>
    </row>
    <row r="3" spans="1:7" ht="17.25">
      <c r="A3" s="42" t="s">
        <v>79</v>
      </c>
      <c r="B3" s="20" t="s">
        <v>80</v>
      </c>
      <c r="C3" s="20" t="s">
        <v>99</v>
      </c>
      <c r="D3" s="41">
        <v>276</v>
      </c>
      <c r="F3" s="82"/>
      <c r="G3" s="83"/>
    </row>
    <row r="4" spans="1:7" ht="18">
      <c r="A4" s="42" t="s">
        <v>81</v>
      </c>
      <c r="B4" s="20" t="s">
        <v>101</v>
      </c>
      <c r="C4" s="20" t="s">
        <v>94</v>
      </c>
      <c r="D4" s="41">
        <v>346</v>
      </c>
      <c r="F4" s="82"/>
      <c r="G4" s="83"/>
    </row>
    <row r="5" spans="1:7" ht="18">
      <c r="A5" s="42" t="s">
        <v>82</v>
      </c>
      <c r="B5" s="20" t="s">
        <v>102</v>
      </c>
      <c r="C5" s="20" t="s">
        <v>94</v>
      </c>
      <c r="D5" s="41">
        <v>900</v>
      </c>
      <c r="F5" s="82"/>
      <c r="G5" s="83"/>
    </row>
    <row r="6" spans="1:7" ht="18">
      <c r="A6" s="42" t="s">
        <v>89</v>
      </c>
      <c r="B6" s="20" t="s">
        <v>103</v>
      </c>
      <c r="C6" s="20" t="s">
        <v>94</v>
      </c>
      <c r="D6" s="41">
        <v>1000</v>
      </c>
      <c r="F6" s="60"/>
      <c r="G6" s="61"/>
    </row>
    <row r="7" spans="1:7" ht="18">
      <c r="A7" s="42" t="s">
        <v>83</v>
      </c>
      <c r="B7" s="20" t="s">
        <v>104</v>
      </c>
      <c r="C7" s="20" t="s">
        <v>94</v>
      </c>
      <c r="D7" s="41">
        <v>1580</v>
      </c>
      <c r="F7" s="82"/>
      <c r="G7" s="83"/>
    </row>
    <row r="8" spans="1:7" ht="18">
      <c r="A8" s="43" t="s">
        <v>84</v>
      </c>
      <c r="B8" s="44" t="s">
        <v>105</v>
      </c>
      <c r="C8" s="44" t="s">
        <v>94</v>
      </c>
      <c r="D8" s="45">
        <v>1550</v>
      </c>
      <c r="F8" s="84"/>
      <c r="G8" s="85"/>
    </row>
    <row r="9" spans="1:7" ht="6" customHeight="1">
      <c r="A9" s="38"/>
      <c r="B9" s="38"/>
      <c r="C9" s="38"/>
    </row>
    <row r="10" spans="1:7" ht="21">
      <c r="A10" s="77" t="s">
        <v>95</v>
      </c>
      <c r="B10" s="78"/>
      <c r="C10" s="78"/>
      <c r="D10" s="79"/>
    </row>
    <row r="11" spans="1:7" ht="18">
      <c r="A11" s="46" t="s">
        <v>85</v>
      </c>
      <c r="B11" s="6" t="s">
        <v>96</v>
      </c>
      <c r="C11" s="6" t="s">
        <v>94</v>
      </c>
      <c r="D11" s="47">
        <f>D7-D8</f>
        <v>30</v>
      </c>
    </row>
    <row r="12" spans="1:7" ht="18">
      <c r="A12" s="46" t="s">
        <v>86</v>
      </c>
      <c r="B12" s="6" t="s">
        <v>97</v>
      </c>
      <c r="C12" s="6" t="s">
        <v>94</v>
      </c>
      <c r="D12" s="47">
        <f>D8-D6</f>
        <v>550</v>
      </c>
    </row>
    <row r="13" spans="1:7" ht="18">
      <c r="A13" s="46" t="s">
        <v>87</v>
      </c>
      <c r="B13" s="6" t="s">
        <v>98</v>
      </c>
      <c r="C13" s="6" t="s">
        <v>94</v>
      </c>
      <c r="D13" s="47">
        <f>D5-D4</f>
        <v>554</v>
      </c>
    </row>
    <row r="14" spans="1:7">
      <c r="A14" s="46" t="s">
        <v>88</v>
      </c>
      <c r="B14" s="6" t="s">
        <v>31</v>
      </c>
      <c r="C14" s="6"/>
      <c r="D14" s="59">
        <f>D11/D12</f>
        <v>5.4545454545454543E-2</v>
      </c>
    </row>
    <row r="15" spans="1:7" ht="18.75">
      <c r="A15" s="50" t="s">
        <v>41</v>
      </c>
      <c r="B15" s="51" t="s">
        <v>107</v>
      </c>
      <c r="C15" s="17" t="s">
        <v>108</v>
      </c>
      <c r="D15" s="57">
        <f>D13/D3</f>
        <v>2.0072463768115942</v>
      </c>
      <c r="F15" s="48" t="s">
        <v>100</v>
      </c>
      <c r="G15" s="56" t="s">
        <v>106</v>
      </c>
    </row>
    <row r="16" spans="1:7" ht="18.75">
      <c r="A16" s="52" t="s">
        <v>40</v>
      </c>
      <c r="B16" s="53" t="s">
        <v>109</v>
      </c>
      <c r="C16" s="54" t="s">
        <v>108</v>
      </c>
      <c r="D16" s="58">
        <f>D15/(1+D14)</f>
        <v>1.9034232883558222</v>
      </c>
      <c r="F16" s="49" t="s">
        <v>100</v>
      </c>
      <c r="G16" s="55" t="s">
        <v>106</v>
      </c>
    </row>
  </sheetData>
  <mergeCells count="4">
    <mergeCell ref="A1:D1"/>
    <mergeCell ref="A10:D10"/>
    <mergeCell ref="F2:G5"/>
    <mergeCell ref="F7:G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zoomScale="115" zoomScaleNormal="115" workbookViewId="0">
      <selection activeCell="D9" sqref="D9"/>
    </sheetView>
  </sheetViews>
  <sheetFormatPr baseColWidth="10" defaultColWidth="9.140625" defaultRowHeight="15"/>
  <cols>
    <col min="1" max="1" width="14" customWidth="1"/>
    <col min="2" max="2" width="17.85546875" customWidth="1"/>
    <col min="3" max="3" width="18.42578125" bestFit="1" customWidth="1"/>
    <col min="4" max="4" width="18.7109375" bestFit="1" customWidth="1"/>
    <col min="5" max="5" width="2.28515625" customWidth="1"/>
    <col min="6" max="6" width="2" customWidth="1"/>
    <col min="7" max="7" width="5.28515625" customWidth="1"/>
    <col min="8" max="8" width="86.42578125" bestFit="1" customWidth="1"/>
    <col min="11" max="11" width="22.5703125" bestFit="1" customWidth="1"/>
    <col min="12" max="12" width="17" bestFit="1" customWidth="1"/>
  </cols>
  <sheetData>
    <row r="1" spans="1:8" ht="21">
      <c r="A1" s="86" t="s">
        <v>71</v>
      </c>
      <c r="B1" s="86"/>
      <c r="C1" s="86"/>
      <c r="D1" s="86"/>
      <c r="E1" s="86"/>
      <c r="F1" s="86"/>
    </row>
    <row r="2" spans="1:8">
      <c r="A2" s="29" t="s">
        <v>57</v>
      </c>
      <c r="B2" s="29"/>
      <c r="C2" s="29" t="s">
        <v>68</v>
      </c>
      <c r="D2" s="36" t="s">
        <v>61</v>
      </c>
      <c r="E2" s="36"/>
      <c r="F2" s="36"/>
      <c r="G2" s="30"/>
      <c r="H2" s="31" t="s">
        <v>69</v>
      </c>
    </row>
    <row r="3" spans="1:8" ht="17.25">
      <c r="A3" s="7" t="s">
        <v>39</v>
      </c>
      <c r="B3" s="7"/>
      <c r="C3" s="15" t="s">
        <v>64</v>
      </c>
      <c r="D3" s="16">
        <v>3.02</v>
      </c>
      <c r="E3" s="7"/>
      <c r="F3" s="7"/>
      <c r="G3" s="2"/>
      <c r="H3" s="6" t="s">
        <v>58</v>
      </c>
    </row>
    <row r="4" spans="1:8">
      <c r="A4" s="7" t="s">
        <v>3</v>
      </c>
      <c r="B4" s="7"/>
      <c r="C4" s="7"/>
      <c r="D4" s="17" t="s">
        <v>5</v>
      </c>
      <c r="E4" s="32"/>
      <c r="F4" s="32"/>
      <c r="G4" s="12"/>
      <c r="H4" s="7" t="s">
        <v>73</v>
      </c>
    </row>
    <row r="5" spans="1:8" ht="14.65" hidden="1" customHeight="1">
      <c r="A5" s="7"/>
      <c r="B5" s="7"/>
      <c r="C5" s="7" t="s">
        <v>15</v>
      </c>
      <c r="D5" s="17">
        <f>LOOKUP(D4,Tabeller!H6:H21,Tabeller!J6:J21)</f>
        <v>2.2000000000000002</v>
      </c>
      <c r="E5" s="17"/>
      <c r="F5" s="17"/>
      <c r="G5" s="8"/>
      <c r="H5" s="2" t="s">
        <v>0</v>
      </c>
    </row>
    <row r="6" spans="1:8" ht="17.25">
      <c r="A6" s="13" t="s">
        <v>40</v>
      </c>
      <c r="B6" s="13"/>
      <c r="C6" s="13" t="s">
        <v>65</v>
      </c>
      <c r="D6" s="62">
        <f>Tetthet!D16</f>
        <v>1.9034232883558222</v>
      </c>
      <c r="E6" s="13"/>
      <c r="F6" s="13"/>
      <c r="G6" s="2"/>
      <c r="H6" s="20" t="s">
        <v>112</v>
      </c>
    </row>
    <row r="7" spans="1:8" ht="17.25">
      <c r="A7" s="13" t="s">
        <v>41</v>
      </c>
      <c r="B7" s="13"/>
      <c r="C7" s="13" t="s">
        <v>66</v>
      </c>
      <c r="D7" s="62">
        <f>Tetthet!D15</f>
        <v>2.0072463768115942</v>
      </c>
      <c r="E7" s="13"/>
      <c r="F7" s="13"/>
      <c r="G7" s="2"/>
      <c r="H7" s="20" t="s">
        <v>112</v>
      </c>
    </row>
    <row r="8" spans="1:8">
      <c r="A8" s="11" t="s">
        <v>42</v>
      </c>
      <c r="B8" s="11"/>
      <c r="C8" s="11"/>
      <c r="D8" s="18" t="s">
        <v>133</v>
      </c>
      <c r="E8" s="11"/>
      <c r="F8" s="11"/>
      <c r="G8" s="2"/>
      <c r="H8" s="21" t="s">
        <v>59</v>
      </c>
    </row>
    <row r="9" spans="1:8">
      <c r="A9" s="11" t="s">
        <v>43</v>
      </c>
      <c r="B9" s="11"/>
      <c r="C9" s="11"/>
      <c r="D9" s="18" t="s">
        <v>134</v>
      </c>
      <c r="E9" s="11"/>
      <c r="F9" s="11"/>
      <c r="G9" s="2"/>
      <c r="H9" s="21" t="s">
        <v>60</v>
      </c>
    </row>
    <row r="10" spans="1:8">
      <c r="A10" s="14" t="s">
        <v>56</v>
      </c>
      <c r="B10" s="14"/>
      <c r="C10" s="14" t="s">
        <v>67</v>
      </c>
      <c r="D10" s="19">
        <v>5</v>
      </c>
      <c r="E10" s="14"/>
      <c r="F10" s="14"/>
      <c r="G10" s="2"/>
      <c r="H10" s="22" t="s">
        <v>34</v>
      </c>
    </row>
    <row r="11" spans="1:8">
      <c r="A11" s="3"/>
      <c r="B11" s="3"/>
      <c r="C11" s="3"/>
      <c r="D11" s="12"/>
      <c r="E11" s="3"/>
      <c r="F11" s="3"/>
      <c r="G11" s="8"/>
      <c r="H11" s="8"/>
    </row>
    <row r="12" spans="1:8" ht="21">
      <c r="A12" s="86" t="s">
        <v>70</v>
      </c>
      <c r="B12" s="86"/>
      <c r="C12" s="86"/>
      <c r="D12" s="86"/>
      <c r="E12" s="86"/>
      <c r="F12" s="86"/>
      <c r="G12" s="2"/>
      <c r="H12" s="2"/>
    </row>
    <row r="13" spans="1:8" ht="14.65" hidden="1" customHeight="1">
      <c r="C13" s="5" t="s">
        <v>14</v>
      </c>
      <c r="D13" s="2">
        <f>LOOKUP(D9,Table3[Massetype],Table3[c])</f>
        <v>0.3</v>
      </c>
      <c r="F13" s="2"/>
      <c r="H13" s="2" t="s">
        <v>2</v>
      </c>
    </row>
    <row r="14" spans="1:8" ht="14.65" hidden="1" customHeight="1">
      <c r="C14" s="5" t="s">
        <v>8</v>
      </c>
      <c r="D14" s="2">
        <f>LOOKUP(D9,Table3[Massetype],Table3[h])</f>
        <v>0.87</v>
      </c>
      <c r="F14" s="2"/>
      <c r="H14" s="2" t="s">
        <v>2</v>
      </c>
    </row>
    <row r="15" spans="1:8" hidden="1">
      <c r="C15" s="5" t="s">
        <v>1</v>
      </c>
      <c r="D15" s="2">
        <f>LOOKUP(D8,Table2[Masse],Table2[k_tint])</f>
        <v>4.5999999999999996</v>
      </c>
      <c r="F15" s="2"/>
      <c r="H15" s="2" t="s">
        <v>2</v>
      </c>
    </row>
    <row r="16" spans="1:8" hidden="1">
      <c r="C16" s="3" t="s">
        <v>38</v>
      </c>
      <c r="D16" s="9">
        <f>D3*1000</f>
        <v>3020</v>
      </c>
      <c r="H16" s="8" t="s">
        <v>37</v>
      </c>
    </row>
    <row r="17" spans="1:8" hidden="1">
      <c r="C17" t="s">
        <v>18</v>
      </c>
      <c r="D17" s="4">
        <f>1-D6*1000/D16</f>
        <v>0.36972738796164828</v>
      </c>
      <c r="H17" t="s">
        <v>36</v>
      </c>
    </row>
    <row r="18" spans="1:8" hidden="1">
      <c r="C18" t="s">
        <v>19</v>
      </c>
      <c r="D18" s="4">
        <f>D10/100*D6/(D17*Tabeller!I28/1000)</f>
        <v>0.2574090195007766</v>
      </c>
      <c r="H18" t="s">
        <v>20</v>
      </c>
    </row>
    <row r="19" spans="1:8" hidden="1">
      <c r="D19" s="4"/>
    </row>
    <row r="20" spans="1:8" hidden="1">
      <c r="A20" s="34"/>
      <c r="B20" s="34"/>
      <c r="C20" s="34" t="s">
        <v>16</v>
      </c>
      <c r="D20" s="35">
        <f>D5</f>
        <v>2.2000000000000002</v>
      </c>
      <c r="F20" s="34"/>
      <c r="H20" s="34" t="s">
        <v>27</v>
      </c>
    </row>
    <row r="21" spans="1:8" hidden="1">
      <c r="A21" s="34"/>
      <c r="B21" s="34"/>
      <c r="C21" s="34" t="s">
        <v>21</v>
      </c>
      <c r="D21" s="35">
        <f>D20^(1-D17)*0.6^D17</f>
        <v>1.3608055715610523</v>
      </c>
      <c r="F21" s="34"/>
      <c r="H21" s="34" t="s">
        <v>28</v>
      </c>
    </row>
    <row r="22" spans="1:8" hidden="1">
      <c r="A22" s="34"/>
      <c r="B22" s="34"/>
      <c r="C22" s="34" t="s">
        <v>25</v>
      </c>
      <c r="D22" s="35">
        <f>'Termisk motstand'!D13*10^-('Termisk motstand'!D14*'Termisk motstand'!D17)</f>
        <v>0.14304030490408212</v>
      </c>
      <c r="F22" s="34"/>
      <c r="H22" s="34" t="s">
        <v>29</v>
      </c>
    </row>
    <row r="23" spans="1:8" hidden="1">
      <c r="A23" s="34"/>
      <c r="B23" s="34"/>
      <c r="C23" s="34" t="s">
        <v>26</v>
      </c>
      <c r="D23" s="35">
        <f>D15*D18/(1+(D15-1)*D18)</f>
        <v>0.61457331643864688</v>
      </c>
      <c r="F23" s="34"/>
      <c r="H23" s="34" t="s">
        <v>30</v>
      </c>
    </row>
    <row r="24" spans="1:8" ht="18.75">
      <c r="A24" s="32" t="s">
        <v>113</v>
      </c>
      <c r="B24" s="32"/>
      <c r="C24" s="32" t="s">
        <v>114</v>
      </c>
      <c r="D24" s="33">
        <f>1/((D21-D22)*D23+D22)</f>
        <v>1.121772507472875</v>
      </c>
      <c r="E24" s="32" t="s">
        <v>117</v>
      </c>
      <c r="F24" s="7"/>
      <c r="G24" s="28"/>
      <c r="H24" s="6" t="s">
        <v>63</v>
      </c>
    </row>
    <row r="25" spans="1:8">
      <c r="A25" s="65" t="s">
        <v>78</v>
      </c>
      <c r="B25" s="65"/>
      <c r="C25" s="65" t="s">
        <v>115</v>
      </c>
      <c r="D25" s="66">
        <f>((D21-D22)*D23+D22)</f>
        <v>0.89144634347724949</v>
      </c>
      <c r="E25" s="67" t="s">
        <v>118</v>
      </c>
      <c r="F25" s="65"/>
      <c r="G25" s="65"/>
      <c r="H25" s="23"/>
    </row>
    <row r="27" spans="1:8">
      <c r="A27" s="87" t="s">
        <v>116</v>
      </c>
      <c r="B27" s="87"/>
      <c r="C27" s="87"/>
    </row>
    <row r="28" spans="1:8">
      <c r="A28" s="73"/>
      <c r="B28" s="27" t="s">
        <v>62</v>
      </c>
      <c r="C28" s="27" t="s">
        <v>119</v>
      </c>
    </row>
    <row r="29" spans="1:8">
      <c r="A29" s="25"/>
      <c r="B29" s="25">
        <v>0</v>
      </c>
      <c r="C29" s="26">
        <f>Utregning!F2</f>
        <v>6.9910365520443021</v>
      </c>
    </row>
    <row r="30" spans="1:8">
      <c r="A30" s="23"/>
      <c r="B30" s="23">
        <v>1</v>
      </c>
      <c r="C30" s="24">
        <f>Utregning!F3</f>
        <v>2.5884211061111917</v>
      </c>
    </row>
    <row r="31" spans="1:8">
      <c r="A31" s="25"/>
      <c r="B31" s="25">
        <v>5</v>
      </c>
      <c r="C31" s="26">
        <f>Utregning!F7</f>
        <v>1.121772507472875</v>
      </c>
    </row>
    <row r="32" spans="1:8">
      <c r="A32" s="23"/>
      <c r="B32" s="23">
        <v>10</v>
      </c>
      <c r="C32" s="24">
        <f>Utregning!F12</f>
        <v>0.86674857660903892</v>
      </c>
    </row>
    <row r="33" spans="1:3">
      <c r="A33" s="25" t="s">
        <v>131</v>
      </c>
      <c r="B33" s="69">
        <f>Utregning!A45</f>
        <v>19.424338780735361</v>
      </c>
      <c r="C33" s="26">
        <f>Utregning!F45</f>
        <v>0.73485883722010858</v>
      </c>
    </row>
    <row r="35" spans="1:3">
      <c r="A35" s="63" t="s">
        <v>72</v>
      </c>
      <c r="B35" s="63"/>
      <c r="C35" s="64">
        <f>(D7-D6)/D7</f>
        <v>5.1724137931034447E-2</v>
      </c>
    </row>
  </sheetData>
  <mergeCells count="3">
    <mergeCell ref="A12:F12"/>
    <mergeCell ref="A1:F1"/>
    <mergeCell ref="A27:C27"/>
  </mergeCell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Tabeller!$H$6:$H$20</xm:f>
          </x14:formula1>
          <xm:sqref>E4:F4</xm:sqref>
        </x14:dataValidation>
        <x14:dataValidation type="list" allowBlank="1" showInputMessage="1" showErrorMessage="1" xr:uid="{00000000-0002-0000-0000-000003000000}">
          <x14:formula1>
            <xm:f>Tabeller!$H$6:$H$21</xm:f>
          </x14:formula1>
          <xm:sqref>D4</xm:sqref>
        </x14:dataValidation>
        <x14:dataValidation type="list" allowBlank="1" showInputMessage="1" showErrorMessage="1" xr:uid="{00000000-0002-0000-0000-000001000000}">
          <x14:formula1>
            <xm:f>Tabeller!$H$32:$H$35</xm:f>
          </x14:formula1>
          <xm:sqref>D8</xm:sqref>
        </x14:dataValidation>
        <x14:dataValidation type="list" allowBlank="1" showInputMessage="1" showErrorMessage="1" xr:uid="{00000000-0002-0000-0000-000002000000}">
          <x14:formula1>
            <xm:f>Tabeller!$H$39:$H$41</xm:f>
          </x14:formula1>
          <xm:sqref>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1"/>
  <sheetViews>
    <sheetView tabSelected="1" workbookViewId="0">
      <selection activeCell="L15" sqref="L15"/>
    </sheetView>
  </sheetViews>
  <sheetFormatPr baseColWidth="10" defaultColWidth="9.140625" defaultRowHeight="15"/>
  <cols>
    <col min="8" max="8" width="19.5703125" bestFit="1" customWidth="1"/>
    <col min="9" max="9" width="13.42578125" bestFit="1" customWidth="1"/>
    <col min="10" max="10" width="20.7109375" bestFit="1" customWidth="1"/>
    <col min="11" max="11" width="18.28515625" bestFit="1" customWidth="1"/>
    <col min="13" max="15" width="11" customWidth="1"/>
  </cols>
  <sheetData>
    <row r="2" spans="1:11">
      <c r="A2" s="37" t="s">
        <v>74</v>
      </c>
      <c r="B2" s="37"/>
      <c r="C2" s="37"/>
      <c r="D2" s="37"/>
      <c r="E2" s="37"/>
      <c r="F2" s="37"/>
    </row>
    <row r="3" spans="1:11" ht="15.75">
      <c r="A3" s="88" t="s">
        <v>75</v>
      </c>
      <c r="B3" s="88"/>
      <c r="C3" s="88"/>
      <c r="D3" s="88"/>
      <c r="E3" s="88"/>
      <c r="F3" s="88"/>
      <c r="H3" s="68" t="s">
        <v>124</v>
      </c>
    </row>
    <row r="4" spans="1:11">
      <c r="A4" s="89" t="s">
        <v>76</v>
      </c>
      <c r="B4" s="89"/>
      <c r="C4" s="89"/>
      <c r="D4" s="89"/>
      <c r="E4" s="89"/>
      <c r="F4" s="89"/>
      <c r="H4" s="29"/>
      <c r="I4" s="29" t="s">
        <v>120</v>
      </c>
      <c r="J4" s="29" t="s">
        <v>78</v>
      </c>
      <c r="K4" s="29" t="s">
        <v>113</v>
      </c>
    </row>
    <row r="5" spans="1:11">
      <c r="A5" s="37"/>
      <c r="B5" s="37"/>
      <c r="C5" s="37"/>
      <c r="D5" s="37"/>
      <c r="E5" s="37"/>
      <c r="F5" s="37"/>
      <c r="H5" t="s">
        <v>3</v>
      </c>
      <c r="I5" s="1" t="s">
        <v>35</v>
      </c>
      <c r="J5" t="s">
        <v>122</v>
      </c>
      <c r="K5" t="s">
        <v>130</v>
      </c>
    </row>
    <row r="6" spans="1:11">
      <c r="A6" s="90" t="s">
        <v>77</v>
      </c>
      <c r="B6" s="90"/>
      <c r="C6" s="90"/>
      <c r="D6" s="90"/>
      <c r="E6" s="90"/>
      <c r="F6" s="90"/>
      <c r="H6" t="s">
        <v>45</v>
      </c>
      <c r="I6">
        <v>2.73</v>
      </c>
      <c r="J6">
        <v>1.8</v>
      </c>
      <c r="K6" s="4">
        <f>1/Table1[[#This Row],[ks '[W/m.K']]]</f>
        <v>0.55555555555555558</v>
      </c>
    </row>
    <row r="7" spans="1:11">
      <c r="H7" t="s">
        <v>4</v>
      </c>
      <c r="I7">
        <v>2.9</v>
      </c>
      <c r="J7">
        <v>1.7</v>
      </c>
      <c r="K7" s="4">
        <f>1/Table1[[#This Row],[ks '[W/m.K']]]</f>
        <v>0.58823529411764708</v>
      </c>
    </row>
    <row r="8" spans="1:11">
      <c r="H8" t="s">
        <v>46</v>
      </c>
      <c r="I8">
        <v>2.98</v>
      </c>
      <c r="J8">
        <v>2.2999999999999998</v>
      </c>
      <c r="K8" s="4">
        <f>1/Table1[[#This Row],[ks '[W/m.K']]]</f>
        <v>0.43478260869565222</v>
      </c>
    </row>
    <row r="9" spans="1:11">
      <c r="H9" t="s">
        <v>47</v>
      </c>
      <c r="I9">
        <v>2.9</v>
      </c>
      <c r="J9">
        <v>3.8</v>
      </c>
      <c r="K9" s="4">
        <f>1/Table1[[#This Row],[ks '[W/m.K']]]</f>
        <v>0.26315789473684209</v>
      </c>
    </row>
    <row r="10" spans="1:11">
      <c r="H10" t="s">
        <v>5</v>
      </c>
      <c r="I10">
        <v>2.92</v>
      </c>
      <c r="J10">
        <v>2.2000000000000002</v>
      </c>
      <c r="K10" s="4">
        <f>1/Table1[[#This Row],[ks '[W/m.K']]]</f>
        <v>0.45454545454545453</v>
      </c>
    </row>
    <row r="11" spans="1:11">
      <c r="H11" t="s">
        <v>48</v>
      </c>
      <c r="I11">
        <v>2.75</v>
      </c>
      <c r="J11">
        <v>2.6</v>
      </c>
      <c r="K11" s="4">
        <f>1/Table1[[#This Row],[ks '[W/m.K']]]</f>
        <v>0.38461538461538458</v>
      </c>
    </row>
    <row r="12" spans="1:11">
      <c r="H12" t="s">
        <v>6</v>
      </c>
      <c r="I12">
        <v>2.75</v>
      </c>
      <c r="J12">
        <v>2.5</v>
      </c>
      <c r="K12" s="4">
        <f>1/Table1[[#This Row],[ks '[W/m.K']]]</f>
        <v>0.4</v>
      </c>
    </row>
    <row r="13" spans="1:11">
      <c r="H13" t="s">
        <v>49</v>
      </c>
      <c r="I13">
        <v>2.7</v>
      </c>
      <c r="J13">
        <v>2.5</v>
      </c>
      <c r="K13" s="4">
        <f>1/Table1[[#This Row],[ks '[W/m.K']]]</f>
        <v>0.4</v>
      </c>
    </row>
    <row r="14" spans="1:11">
      <c r="H14" t="s">
        <v>50</v>
      </c>
      <c r="I14">
        <v>2.8</v>
      </c>
      <c r="J14">
        <v>3.2</v>
      </c>
      <c r="K14" s="4">
        <f>1/Table1[[#This Row],[ks '[W/m.K']]]</f>
        <v>0.3125</v>
      </c>
    </row>
    <row r="15" spans="1:11">
      <c r="H15" t="s">
        <v>51</v>
      </c>
      <c r="I15">
        <v>2.65</v>
      </c>
      <c r="J15">
        <v>5</v>
      </c>
      <c r="K15" s="4">
        <f>1/Table1[[#This Row],[ks '[W/m.K']]]</f>
        <v>0.2</v>
      </c>
    </row>
    <row r="16" spans="1:11">
      <c r="H16" t="s">
        <v>52</v>
      </c>
      <c r="I16">
        <v>2.8</v>
      </c>
      <c r="J16">
        <v>3</v>
      </c>
      <c r="K16" s="4">
        <f>1/Table1[[#This Row],[ks '[W/m.K']]]</f>
        <v>0.33333333333333331</v>
      </c>
    </row>
    <row r="17" spans="8:11">
      <c r="H17" t="s">
        <v>53</v>
      </c>
      <c r="I17">
        <v>2.65</v>
      </c>
      <c r="J17">
        <v>1.5</v>
      </c>
      <c r="K17" s="4">
        <f>1/Table1[[#This Row],[ks '[W/m.K']]]</f>
        <v>0.66666666666666663</v>
      </c>
    </row>
    <row r="18" spans="8:11">
      <c r="H18" t="s">
        <v>54</v>
      </c>
      <c r="I18">
        <v>2.65</v>
      </c>
      <c r="J18">
        <v>2</v>
      </c>
      <c r="K18" s="4">
        <f>1/Table1[[#This Row],[ks '[W/m.K']]]</f>
        <v>0.5</v>
      </c>
    </row>
    <row r="19" spans="8:11">
      <c r="H19" t="s">
        <v>55</v>
      </c>
      <c r="I19">
        <v>2.8</v>
      </c>
      <c r="J19">
        <v>2</v>
      </c>
      <c r="K19" s="4">
        <f>1/Table1[[#This Row],[ks '[W/m.K']]]</f>
        <v>0.5</v>
      </c>
    </row>
    <row r="20" spans="8:11">
      <c r="H20" t="s">
        <v>7</v>
      </c>
      <c r="I20">
        <v>2.9</v>
      </c>
      <c r="J20">
        <v>2</v>
      </c>
      <c r="K20" s="4">
        <f>1/Table1[[#This Row],[ks '[W/m.K']]]</f>
        <v>0.5</v>
      </c>
    </row>
    <row r="21" spans="8:11">
      <c r="H21" t="s">
        <v>44</v>
      </c>
      <c r="I21">
        <f>MEDIAN(I6:I20)</f>
        <v>2.8</v>
      </c>
      <c r="J21">
        <f>MEDIAN(J6:J20)</f>
        <v>2.2999999999999998</v>
      </c>
      <c r="K21" s="4">
        <f>1/Table1[[#This Row],[ks '[W/m.K']]]</f>
        <v>0.43478260869565222</v>
      </c>
    </row>
    <row r="23" spans="8:11">
      <c r="H23" s="71" t="s">
        <v>110</v>
      </c>
      <c r="I23" s="72">
        <f>MEDIAN(I6:I20)</f>
        <v>2.8</v>
      </c>
      <c r="J23" s="72">
        <f>MEDIAN(J6:J20)</f>
        <v>2.2999999999999998</v>
      </c>
      <c r="K23" s="72">
        <f>MEDIAN(K6:K20)</f>
        <v>0.43478260869565222</v>
      </c>
    </row>
    <row r="24" spans="8:11">
      <c r="H24" s="71" t="s">
        <v>123</v>
      </c>
      <c r="I24" s="72">
        <f>AVERAGE(Table1[r '[g/cm^3']])</f>
        <v>2.7924999999999995</v>
      </c>
      <c r="J24" s="72">
        <f>AVERAGE(Table1[ks '[W/m.K']])</f>
        <v>2.5249999999999995</v>
      </c>
      <c r="K24" s="72">
        <f>AVERAGE(Table1[Rs '[m.K/W']])</f>
        <v>0.43301092506013678</v>
      </c>
    </row>
    <row r="26" spans="8:11">
      <c r="H26" s="68" t="s">
        <v>125</v>
      </c>
    </row>
    <row r="27" spans="8:11">
      <c r="H27" t="s">
        <v>121</v>
      </c>
      <c r="I27" t="s">
        <v>120</v>
      </c>
      <c r="J27" t="s">
        <v>57</v>
      </c>
    </row>
    <row r="28" spans="8:11">
      <c r="H28" t="s">
        <v>22</v>
      </c>
      <c r="I28">
        <v>1000</v>
      </c>
      <c r="J28" t="s">
        <v>33</v>
      </c>
    </row>
    <row r="30" spans="8:11">
      <c r="H30" s="68" t="s">
        <v>126</v>
      </c>
    </row>
    <row r="31" spans="8:11">
      <c r="H31" t="s">
        <v>11</v>
      </c>
      <c r="I31" t="s">
        <v>12</v>
      </c>
      <c r="J31" t="s">
        <v>13</v>
      </c>
    </row>
    <row r="32" spans="8:11">
      <c r="H32" t="s">
        <v>9</v>
      </c>
      <c r="I32">
        <v>4.5999999999999996</v>
      </c>
      <c r="J32">
        <v>1.7</v>
      </c>
    </row>
    <row r="33" spans="8:10">
      <c r="H33" t="s">
        <v>10</v>
      </c>
      <c r="I33">
        <v>2</v>
      </c>
      <c r="J33">
        <v>0.95</v>
      </c>
    </row>
    <row r="34" spans="8:10">
      <c r="H34" t="s">
        <v>132</v>
      </c>
      <c r="I34">
        <v>1.9</v>
      </c>
      <c r="J34">
        <v>0.85</v>
      </c>
    </row>
    <row r="35" spans="8:10">
      <c r="H35" t="s">
        <v>133</v>
      </c>
      <c r="I35">
        <v>0.6</v>
      </c>
      <c r="J35">
        <v>0.25</v>
      </c>
    </row>
    <row r="37" spans="8:10">
      <c r="H37" s="68" t="s">
        <v>127</v>
      </c>
    </row>
    <row r="38" spans="8:10">
      <c r="H38" s="10" t="s">
        <v>17</v>
      </c>
      <c r="I38" s="1" t="s">
        <v>14</v>
      </c>
      <c r="J38" s="1" t="s">
        <v>8</v>
      </c>
    </row>
    <row r="39" spans="8:10">
      <c r="H39" t="s">
        <v>23</v>
      </c>
      <c r="I39">
        <v>1.7</v>
      </c>
      <c r="J39">
        <v>1.8</v>
      </c>
    </row>
    <row r="40" spans="8:10">
      <c r="H40" t="s">
        <v>24</v>
      </c>
      <c r="I40">
        <v>0.75</v>
      </c>
      <c r="J40">
        <v>1.2</v>
      </c>
    </row>
    <row r="41" spans="8:10">
      <c r="H41" t="s">
        <v>134</v>
      </c>
      <c r="I41">
        <v>0.3</v>
      </c>
      <c r="J41">
        <v>0.87</v>
      </c>
    </row>
  </sheetData>
  <mergeCells count="3">
    <mergeCell ref="A3:F3"/>
    <mergeCell ref="A4:F4"/>
    <mergeCell ref="A6:F6"/>
  </mergeCells>
  <hyperlinks>
    <hyperlink ref="A6" r:id="rId1" display="https://doi.org/10.1139/t04-106" xr:uid="{00000000-0004-0000-0100-000000000000}"/>
  </hyperlinks>
  <pageMargins left="0.7" right="0.7" top="0.75" bottom="0.75" header="0.3" footer="0.3"/>
  <pageSetup paperSize="9" orientation="portrait" r:id="rId2"/>
  <legacyDrawing r:id="rId3"/>
  <tableParts count="4"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workbookViewId="0">
      <selection activeCell="I8" sqref="I8"/>
    </sheetView>
  </sheetViews>
  <sheetFormatPr baseColWidth="10" defaultColWidth="9.140625" defaultRowHeight="15"/>
  <cols>
    <col min="3" max="3" width="12" bestFit="1" customWidth="1"/>
    <col min="7" max="7" width="2.85546875" customWidth="1"/>
  </cols>
  <sheetData>
    <row r="1" spans="1:9">
      <c r="A1" s="71" t="s">
        <v>31</v>
      </c>
      <c r="B1" s="71" t="s">
        <v>19</v>
      </c>
      <c r="C1" s="71" t="s">
        <v>128</v>
      </c>
      <c r="D1" s="71" t="s">
        <v>32</v>
      </c>
      <c r="E1" s="71" t="s">
        <v>1</v>
      </c>
      <c r="F1" s="71" t="s">
        <v>114</v>
      </c>
    </row>
    <row r="2" spans="1:9">
      <c r="A2" s="71">
        <v>0</v>
      </c>
      <c r="B2" s="71">
        <f>A2*100*'Termisk motstand'!$D$6/1000/'Termisk motstand'!$D$17</f>
        <v>0</v>
      </c>
      <c r="C2" s="71">
        <f t="shared" ref="C2:C44" si="0">IF(B2&lt;=1,B2,NA())</f>
        <v>0</v>
      </c>
      <c r="D2" s="71">
        <f>'Termisk motstand'!$D$15*C2/(1+('Termisk motstand'!$D$15-1)*C2)</f>
        <v>0</v>
      </c>
      <c r="E2" s="71">
        <f>('Termisk motstand'!$D$21-'Termisk motstand'!$D$22)*D2+'Termisk motstand'!$D$22</f>
        <v>0.14304030490408212</v>
      </c>
      <c r="F2" s="71">
        <f>1/E2</f>
        <v>6.9910365520443021</v>
      </c>
      <c r="H2" s="37" t="s">
        <v>129</v>
      </c>
      <c r="I2" s="70" cm="1">
        <f t="array" ref="I2">100*'Termisk motstand'!D17*Table4[Tetthet]/('Termisk motstand'!D6*1000)</f>
        <v>19.424338780735361</v>
      </c>
    </row>
    <row r="3" spans="1:9">
      <c r="A3" s="71">
        <v>1</v>
      </c>
      <c r="B3" s="71">
        <f>A3/100*'Termisk motstand'!$D$6/'Termisk motstand'!$D$17</f>
        <v>5.1481803900155311E-2</v>
      </c>
      <c r="C3" s="71">
        <f t="shared" si="0"/>
        <v>5.1481803900155311E-2</v>
      </c>
      <c r="D3" s="71">
        <f>'Termisk motstand'!$D$15*C3/(1+('Termisk motstand'!$D$15-1)*C3)</f>
        <v>0.19978858215241577</v>
      </c>
      <c r="E3" s="71">
        <f>('Termisk motstand'!$D$21-'Termisk motstand'!$D$22)*D3+'Termisk motstand'!$D$22</f>
        <v>0.38633590092393671</v>
      </c>
      <c r="F3" s="71">
        <f t="shared" ref="F3:F27" si="1">1/E3</f>
        <v>2.5884211061111917</v>
      </c>
    </row>
    <row r="4" spans="1:9">
      <c r="A4" s="71">
        <v>2</v>
      </c>
      <c r="B4" s="71">
        <f>A4/100*'Termisk motstand'!$D$6/'Termisk motstand'!$D$17</f>
        <v>0.10296360780031062</v>
      </c>
      <c r="C4" s="71">
        <f t="shared" si="0"/>
        <v>0.10296360780031062</v>
      </c>
      <c r="D4" s="71">
        <f>'Termisk motstand'!$D$15*C4/(1+('Termisk motstand'!$D$15-1)*C4)</f>
        <v>0.34554848763631507</v>
      </c>
      <c r="E4" s="71">
        <f>('Termisk motstand'!$D$21-'Termisk motstand'!$D$22)*D4+'Termisk motstand'!$D$22</f>
        <v>0.56383725109343219</v>
      </c>
      <c r="F4" s="71">
        <f t="shared" si="1"/>
        <v>1.7735614276295701</v>
      </c>
    </row>
    <row r="5" spans="1:9">
      <c r="A5" s="71">
        <v>3</v>
      </c>
      <c r="B5" s="71">
        <f>A5/100*'Termisk motstand'!$D$6/'Termisk motstand'!$D$17</f>
        <v>0.15444541170046594</v>
      </c>
      <c r="C5" s="71">
        <f t="shared" si="0"/>
        <v>0.15444541170046594</v>
      </c>
      <c r="D5" s="71">
        <f>'Termisk motstand'!$D$15*C5/(1+('Termisk motstand'!$D$15-1)*C5)</f>
        <v>0.45658567090956365</v>
      </c>
      <c r="E5" s="71">
        <f>('Termisk motstand'!$D$21-'Termisk motstand'!$D$22)*D5+'Termisk motstand'!$D$22</f>
        <v>0.69905447619101857</v>
      </c>
      <c r="F5" s="71">
        <f t="shared" si="1"/>
        <v>1.4305036789818755</v>
      </c>
    </row>
    <row r="6" spans="1:9">
      <c r="A6" s="71">
        <v>4</v>
      </c>
      <c r="B6" s="71">
        <f>A6/100*'Termisk motstand'!$D$6/'Termisk motstand'!$D$17</f>
        <v>0.20592721560062124</v>
      </c>
      <c r="C6" s="71">
        <f t="shared" si="0"/>
        <v>0.20592721560062124</v>
      </c>
      <c r="D6" s="71">
        <f>'Termisk motstand'!$D$15*C6/(1+('Termisk motstand'!$D$15-1)*C6)</f>
        <v>0.54398698284324509</v>
      </c>
      <c r="E6" s="71">
        <f>('Termisk motstand'!$D$21-'Termisk motstand'!$D$22)*D6+'Termisk motstand'!$D$22</f>
        <v>0.80548875812410725</v>
      </c>
      <c r="F6" s="71">
        <f t="shared" si="1"/>
        <v>1.241482255232075</v>
      </c>
    </row>
    <row r="7" spans="1:9">
      <c r="A7" s="71">
        <v>5</v>
      </c>
      <c r="B7" s="71">
        <f>A7/100*'Termisk motstand'!$D$6/'Termisk motstand'!$D$17</f>
        <v>0.2574090195007766</v>
      </c>
      <c r="C7" s="71">
        <f t="shared" si="0"/>
        <v>0.2574090195007766</v>
      </c>
      <c r="D7" s="71">
        <f>'Termisk motstand'!$D$15*C7/(1+('Termisk motstand'!$D$15-1)*C7)</f>
        <v>0.61457331643864688</v>
      </c>
      <c r="E7" s="71">
        <f>('Termisk motstand'!$D$21-'Termisk motstand'!$D$22)*D7+'Termisk motstand'!$D$22</f>
        <v>0.89144634347724949</v>
      </c>
      <c r="F7" s="71">
        <f t="shared" si="1"/>
        <v>1.121772507472875</v>
      </c>
    </row>
    <row r="8" spans="1:9">
      <c r="A8" s="71">
        <v>6</v>
      </c>
      <c r="B8" s="71">
        <f>A8/100*'Termisk motstand'!$D$6/'Termisk motstand'!$D$17</f>
        <v>0.30889082340093188</v>
      </c>
      <c r="C8" s="71">
        <f t="shared" si="0"/>
        <v>0.30889082340093188</v>
      </c>
      <c r="D8" s="71">
        <f>'Termisk motstand'!$D$15*C8/(1+('Termisk motstand'!$D$15-1)*C8)</f>
        <v>0.67277135525608267</v>
      </c>
      <c r="E8" s="71">
        <f>('Termisk motstand'!$D$21-'Termisk motstand'!$D$22)*D8+'Termisk motstand'!$D$22</f>
        <v>0.96231789373667698</v>
      </c>
      <c r="F8" s="71">
        <f t="shared" si="1"/>
        <v>1.0391576489521601</v>
      </c>
    </row>
    <row r="9" spans="1:9">
      <c r="A9" s="71">
        <v>7</v>
      </c>
      <c r="B9" s="71">
        <f>A9/100*'Termisk motstand'!$D$6/'Termisk motstand'!$D$17</f>
        <v>0.36037262730108721</v>
      </c>
      <c r="C9" s="71">
        <f t="shared" si="0"/>
        <v>0.36037262730108721</v>
      </c>
      <c r="D9" s="71">
        <f>'Termisk motstand'!$D$15*C9/(1+('Termisk motstand'!$D$15-1)*C9)</f>
        <v>0.72157931926379515</v>
      </c>
      <c r="E9" s="71">
        <f>('Termisk motstand'!$D$21-'Termisk motstand'!$D$22)*D9+'Termisk motstand'!$D$22</f>
        <v>1.0217545370415126</v>
      </c>
      <c r="F9" s="71">
        <f t="shared" si="1"/>
        <v>0.97870864649693379</v>
      </c>
    </row>
    <row r="10" spans="1:9">
      <c r="A10" s="71">
        <v>8</v>
      </c>
      <c r="B10" s="71">
        <f>A10/100*'Termisk motstand'!$D$6/'Termisk motstand'!$D$17</f>
        <v>0.41185443120124249</v>
      </c>
      <c r="C10" s="71">
        <f t="shared" si="0"/>
        <v>0.41185443120124249</v>
      </c>
      <c r="D10" s="71">
        <f>'Termisk motstand'!$D$15*C10/(1+('Termisk motstand'!$D$15-1)*C10)</f>
        <v>0.76310014673961357</v>
      </c>
      <c r="E10" s="71">
        <f>('Termisk motstand'!$D$21-'Termisk motstand'!$D$22)*D10+'Termisk motstand'!$D$22</f>
        <v>1.0723171585844207</v>
      </c>
      <c r="F10" s="71">
        <f t="shared" si="1"/>
        <v>0.93255991662029591</v>
      </c>
    </row>
    <row r="11" spans="1:9">
      <c r="A11" s="71">
        <v>9</v>
      </c>
      <c r="B11" s="71">
        <f>A11/100*'Termisk motstand'!$D$6/'Termisk motstand'!$D$17</f>
        <v>0.46333623510139782</v>
      </c>
      <c r="C11" s="71">
        <f t="shared" si="0"/>
        <v>0.46333623510139782</v>
      </c>
      <c r="D11" s="71">
        <f>'Termisk motstand'!$D$15*C11/(1+('Termisk motstand'!$D$15-1)*C11)</f>
        <v>0.79885244991084381</v>
      </c>
      <c r="E11" s="71">
        <f>('Termisk motstand'!$D$21-'Termisk motstand'!$D$22)*D11+'Termisk motstand'!$D$22</f>
        <v>1.1158550715893347</v>
      </c>
      <c r="F11" s="71">
        <f t="shared" si="1"/>
        <v>0.89617372852522859</v>
      </c>
    </row>
    <row r="12" spans="1:9">
      <c r="A12" s="71">
        <v>10</v>
      </c>
      <c r="B12" s="71">
        <f>A12/100*'Termisk motstand'!$D$6/'Termisk motstand'!$D$17</f>
        <v>0.51481803900155321</v>
      </c>
      <c r="C12" s="71">
        <f t="shared" si="0"/>
        <v>0.51481803900155321</v>
      </c>
      <c r="D12" s="71">
        <f>'Termisk motstand'!$D$15*C12/(1+('Termisk motstand'!$D$15-1)*C12)</f>
        <v>0.82996028481243478</v>
      </c>
      <c r="E12" s="71">
        <f>('Termisk motstand'!$D$21-'Termisk motstand'!$D$22)*D12+'Termisk motstand'!$D$22</f>
        <v>1.1537371124533917</v>
      </c>
      <c r="F12" s="71">
        <f t="shared" si="1"/>
        <v>0.86674857660903892</v>
      </c>
    </row>
    <row r="13" spans="1:9">
      <c r="A13" s="71">
        <v>11</v>
      </c>
      <c r="B13" s="71">
        <f>A13/100*'Termisk motstand'!$D$6/'Termisk motstand'!$D$17</f>
        <v>0.56629984290170843</v>
      </c>
      <c r="C13" s="71">
        <f t="shared" si="0"/>
        <v>0.56629984290170843</v>
      </c>
      <c r="D13" s="71">
        <f>'Termisk motstand'!$D$15*C13/(1+('Termisk motstand'!$D$15-1)*C13)</f>
        <v>0.85727347472658277</v>
      </c>
      <c r="E13" s="71">
        <f>('Termisk motstand'!$D$21-'Termisk motstand'!$D$22)*D13+'Termisk motstand'!$D$22</f>
        <v>1.1869981664524465</v>
      </c>
      <c r="F13" s="71">
        <f t="shared" si="1"/>
        <v>0.84246128449269342</v>
      </c>
    </row>
    <row r="14" spans="1:9">
      <c r="A14" s="71">
        <v>12</v>
      </c>
      <c r="B14" s="71">
        <f>A14/100*'Termisk motstand'!$D$6/'Termisk motstand'!$D$17</f>
        <v>0.61778164680186376</v>
      </c>
      <c r="C14" s="71">
        <f t="shared" si="0"/>
        <v>0.61778164680186376</v>
      </c>
      <c r="D14" s="71">
        <f>'Termisk motstand'!$D$15*C14/(1+('Termisk motstand'!$D$15-1)*C14)</f>
        <v>0.88144643240497955</v>
      </c>
      <c r="E14" s="71">
        <f>('Termisk motstand'!$D$21-'Termisk motstand'!$D$22)*D14+'Termisk motstand'!$D$22</f>
        <v>1.2164351547055672</v>
      </c>
      <c r="F14" s="71">
        <f t="shared" si="1"/>
        <v>0.82207423563161131</v>
      </c>
    </row>
    <row r="15" spans="1:9">
      <c r="A15" s="71">
        <v>13</v>
      </c>
      <c r="B15" s="71">
        <f>A15/100*'Termisk motstand'!$D$6/'Termisk motstand'!$D$17</f>
        <v>0.6692634507020192</v>
      </c>
      <c r="C15" s="71">
        <f t="shared" si="0"/>
        <v>0.6692634507020192</v>
      </c>
      <c r="D15" s="71">
        <f>'Termisk motstand'!$D$15*C15/(1+('Termisk motstand'!$D$15-1)*C15)</f>
        <v>0.90299127331409157</v>
      </c>
      <c r="E15" s="71">
        <f>('Termisk motstand'!$D$21-'Termisk motstand'!$D$22)*D15+'Termisk motstand'!$D$22</f>
        <v>1.2426717136403338</v>
      </c>
      <c r="F15" s="71">
        <f t="shared" si="1"/>
        <v>0.80471776175749488</v>
      </c>
    </row>
    <row r="16" spans="1:9">
      <c r="A16" s="71">
        <v>14</v>
      </c>
      <c r="B16" s="71">
        <f>A16/100*'Termisk motstand'!$D$6/'Termisk motstand'!$D$17</f>
        <v>0.72074525460217442</v>
      </c>
      <c r="C16" s="71">
        <f t="shared" si="0"/>
        <v>0.72074525460217442</v>
      </c>
      <c r="D16" s="71">
        <f>'Termisk motstand'!$D$15*C16/(1+('Termisk motstand'!$D$15-1)*C16)</f>
        <v>0.92231449841911073</v>
      </c>
      <c r="E16" s="71">
        <f>('Termisk motstand'!$D$21-'Termisk motstand'!$D$22)*D16+'Termisk motstand'!$D$22</f>
        <v>1.2662028660130202</v>
      </c>
      <c r="F16" s="71">
        <f t="shared" si="1"/>
        <v>0.78976286252515648</v>
      </c>
    </row>
    <row r="17" spans="1:6">
      <c r="A17" s="71">
        <v>15</v>
      </c>
      <c r="B17" s="71">
        <f>A17/100*'Termisk motstand'!$D$6/'Termisk motstand'!$D$17</f>
        <v>0.77222705850232976</v>
      </c>
      <c r="C17" s="71">
        <f t="shared" si="0"/>
        <v>0.77222705850232976</v>
      </c>
      <c r="D17" s="71">
        <f>'Termisk motstand'!$D$15*C17/(1+('Termisk motstand'!$D$15-1)*C17)</f>
        <v>0.93974288561252661</v>
      </c>
      <c r="E17" s="71">
        <f>('Termisk motstand'!$D$21-'Termisk motstand'!$D$22)*D17+'Termisk motstand'!$D$22</f>
        <v>1.2874265505910112</v>
      </c>
      <c r="F17" s="71">
        <f t="shared" si="1"/>
        <v>0.77674334084607466</v>
      </c>
    </row>
    <row r="18" spans="1:6">
      <c r="A18" s="71">
        <v>16</v>
      </c>
      <c r="B18" s="71">
        <f>A18/100*'Termisk motstand'!$D$6/'Termisk motstand'!$D$17</f>
        <v>0.82370886240248498</v>
      </c>
      <c r="C18" s="71">
        <f t="shared" si="0"/>
        <v>0.82370886240248498</v>
      </c>
      <c r="D18" s="71">
        <f>'Termisk motstand'!$D$15*C18/(1+('Termisk motstand'!$D$15-1)*C18)</f>
        <v>0.95554212038764252</v>
      </c>
      <c r="E18" s="71">
        <f>('Termisk motstand'!$D$21-'Termisk motstand'!$D$22)*D18+'Termisk motstand'!$D$22</f>
        <v>1.3066663099399063</v>
      </c>
      <c r="F18" s="71">
        <f t="shared" si="1"/>
        <v>0.76530633138156756</v>
      </c>
    </row>
    <row r="19" spans="1:6">
      <c r="A19" s="71">
        <v>17</v>
      </c>
      <c r="B19" s="71">
        <f>A19/100*'Termisk motstand'!$D$6/'Termisk motstand'!$D$17</f>
        <v>0.87519066630264042</v>
      </c>
      <c r="C19" s="71">
        <f t="shared" si="0"/>
        <v>0.87519066630264042</v>
      </c>
      <c r="D19" s="71">
        <f>'Termisk motstand'!$D$15*C19/(1+('Termisk motstand'!$D$15-1)*C19)</f>
        <v>0.96993043518374078</v>
      </c>
      <c r="E19" s="71">
        <f>('Termisk motstand'!$D$21-'Termisk motstand'!$D$22)*D19+'Termisk motstand'!$D$22</f>
        <v>1.3241878999443213</v>
      </c>
      <c r="F19" s="71">
        <f t="shared" si="1"/>
        <v>0.75517983515938136</v>
      </c>
    </row>
    <row r="20" spans="1:6">
      <c r="A20" s="71">
        <v>18</v>
      </c>
      <c r="B20" s="71">
        <f>A20/100*'Termisk motstand'!$D$6/'Termisk motstand'!$D$17</f>
        <v>0.92667247020279564</v>
      </c>
      <c r="C20" s="71">
        <f t="shared" si="0"/>
        <v>0.92667247020279564</v>
      </c>
      <c r="D20" s="71">
        <f>'Termisk motstand'!$D$15*C20/(1+('Termisk motstand'!$D$15-1)*C20)</f>
        <v>0.98308875081295199</v>
      </c>
      <c r="E20" s="71">
        <f>('Termisk motstand'!$D$21-'Termisk motstand'!$D$22)*D20+'Termisk motstand'!$D$22</f>
        <v>1.3402116396852843</v>
      </c>
      <c r="F20" s="71">
        <f t="shared" si="1"/>
        <v>0.74615080961005931</v>
      </c>
    </row>
    <row r="21" spans="1:6">
      <c r="A21" s="71">
        <v>19</v>
      </c>
      <c r="B21" s="71">
        <f>A21/100*'Termisk motstand'!$D$6/'Termisk motstand'!$D$17</f>
        <v>0.97815427410295108</v>
      </c>
      <c r="C21" s="71">
        <f t="shared" si="0"/>
        <v>0.97815427410295108</v>
      </c>
      <c r="D21" s="71">
        <f>'Termisk motstand'!$D$15*C21/(1+('Termisk motstand'!$D$15-1)*C21)</f>
        <v>0.99516832364892838</v>
      </c>
      <c r="E21" s="71">
        <f>('Termisk motstand'!$D$21-'Termisk motstand'!$D$22)*D21+'Termisk motstand'!$D$22</f>
        <v>1.3549217239209894</v>
      </c>
      <c r="F21" s="71">
        <f t="shared" si="1"/>
        <v>0.73805001598624731</v>
      </c>
    </row>
    <row r="22" spans="1:6">
      <c r="A22" s="71">
        <v>20</v>
      </c>
      <c r="B22" s="71">
        <f>A22/100*'Termisk motstand'!$D$6/'Termisk motstand'!$D$17</f>
        <v>1.0296360780031064</v>
      </c>
      <c r="C22" s="71" t="e">
        <f t="shared" si="0"/>
        <v>#N/A</v>
      </c>
      <c r="D22" s="71" t="e">
        <f>'Termisk motstand'!$D$15*C22/(1+('Termisk motstand'!$D$15-1)*C22)</f>
        <v>#N/A</v>
      </c>
      <c r="E22" s="71" t="e">
        <f>('Termisk motstand'!$D$21-'Termisk motstand'!$D$22)*D22+'Termisk motstand'!$D$22</f>
        <v>#N/A</v>
      </c>
      <c r="F22" s="71" t="e">
        <f t="shared" si="1"/>
        <v>#N/A</v>
      </c>
    </row>
    <row r="23" spans="1:6">
      <c r="A23" s="71">
        <v>21</v>
      </c>
      <c r="B23" s="71">
        <f>A23/100*'Termisk motstand'!$D$6/'Termisk motstand'!$D$17</f>
        <v>1.0811178819032616</v>
      </c>
      <c r="C23" s="71" t="e">
        <f t="shared" si="0"/>
        <v>#N/A</v>
      </c>
      <c r="D23" s="71" t="e">
        <f>'Termisk motstand'!$D$15*C23/(1+('Termisk motstand'!$D$15-1)*C23)</f>
        <v>#N/A</v>
      </c>
      <c r="E23" s="71" t="e">
        <f>('Termisk motstand'!$D$21-'Termisk motstand'!$D$22)*D23+'Termisk motstand'!$D$22</f>
        <v>#N/A</v>
      </c>
      <c r="F23" s="71" t="e">
        <f t="shared" si="1"/>
        <v>#N/A</v>
      </c>
    </row>
    <row r="24" spans="1:6">
      <c r="A24" s="71">
        <v>22</v>
      </c>
      <c r="B24" s="71">
        <f>A24/100*'Termisk motstand'!$D$6/'Termisk motstand'!$D$17</f>
        <v>1.1325996858034169</v>
      </c>
      <c r="C24" s="71" t="e">
        <f t="shared" si="0"/>
        <v>#N/A</v>
      </c>
      <c r="D24" s="71" t="e">
        <f>'Termisk motstand'!$D$15*C24/(1+('Termisk motstand'!$D$15-1)*C24)</f>
        <v>#N/A</v>
      </c>
      <c r="E24" s="71" t="e">
        <f>('Termisk motstand'!$D$21-'Termisk motstand'!$D$22)*D24+'Termisk motstand'!$D$22</f>
        <v>#N/A</v>
      </c>
      <c r="F24" s="71" t="e">
        <f t="shared" si="1"/>
        <v>#N/A</v>
      </c>
    </row>
    <row r="25" spans="1:6">
      <c r="A25" s="71">
        <v>23</v>
      </c>
      <c r="B25" s="71">
        <f>A25/100*'Termisk motstand'!$D$6/'Termisk motstand'!$D$17</f>
        <v>1.1840814897035723</v>
      </c>
      <c r="C25" s="71" t="e">
        <f t="shared" si="0"/>
        <v>#N/A</v>
      </c>
      <c r="D25" s="71" t="e">
        <f>'Termisk motstand'!$D$15*C25/(1+('Termisk motstand'!$D$15-1)*C25)</f>
        <v>#N/A</v>
      </c>
      <c r="E25" s="71" t="e">
        <f>('Termisk motstand'!$D$21-'Termisk motstand'!$D$22)*D25+'Termisk motstand'!$D$22</f>
        <v>#N/A</v>
      </c>
      <c r="F25" s="71" t="e">
        <f t="shared" si="1"/>
        <v>#N/A</v>
      </c>
    </row>
    <row r="26" spans="1:6">
      <c r="A26" s="71">
        <v>24</v>
      </c>
      <c r="B26" s="71">
        <f>A26/100*'Termisk motstand'!$D$6/'Termisk motstand'!$D$17</f>
        <v>1.2355632936037275</v>
      </c>
      <c r="C26" s="71" t="e">
        <f t="shared" si="0"/>
        <v>#N/A</v>
      </c>
      <c r="D26" s="71" t="e">
        <f>'Termisk motstand'!$D$15*C26/(1+('Termisk motstand'!$D$15-1)*C26)</f>
        <v>#N/A</v>
      </c>
      <c r="E26" s="71" t="e">
        <f>('Termisk motstand'!$D$21-'Termisk motstand'!$D$22)*D26+'Termisk motstand'!$D$22</f>
        <v>#N/A</v>
      </c>
      <c r="F26" s="71" t="e">
        <f t="shared" si="1"/>
        <v>#N/A</v>
      </c>
    </row>
    <row r="27" spans="1:6">
      <c r="A27" s="71">
        <v>25</v>
      </c>
      <c r="B27" s="71">
        <f>A27/100*'Termisk motstand'!$D$6/'Termisk motstand'!$D$17</f>
        <v>1.287045097503883</v>
      </c>
      <c r="C27" s="71" t="e">
        <f t="shared" si="0"/>
        <v>#N/A</v>
      </c>
      <c r="D27" s="71" t="e">
        <f>'Termisk motstand'!$D$15*C27/(1+('Termisk motstand'!$D$15-1)*C27)</f>
        <v>#N/A</v>
      </c>
      <c r="E27" s="71" t="e">
        <f>('Termisk motstand'!$D$21-'Termisk motstand'!$D$22)*D27+'Termisk motstand'!$D$22</f>
        <v>#N/A</v>
      </c>
      <c r="F27" s="71" t="e">
        <f t="shared" si="1"/>
        <v>#N/A</v>
      </c>
    </row>
    <row r="28" spans="1:6">
      <c r="A28" s="71">
        <v>26</v>
      </c>
      <c r="B28" s="71">
        <f>A28/100*'Termisk motstand'!$D$6/'Termisk motstand'!$D$17</f>
        <v>1.3385269014040384</v>
      </c>
      <c r="C28" s="71" t="e">
        <f t="shared" si="0"/>
        <v>#N/A</v>
      </c>
      <c r="D28" s="71" t="e">
        <f>'Termisk motstand'!$D$15*C28/(1+('Termisk motstand'!$D$15-1)*C28)</f>
        <v>#N/A</v>
      </c>
      <c r="E28" s="71" t="e">
        <f>('Termisk motstand'!$D$21-'Termisk motstand'!$D$22)*D28+'Termisk motstand'!$D$22</f>
        <v>#N/A</v>
      </c>
      <c r="F28" s="71" t="e">
        <f t="shared" ref="F28:F44" si="2">1/E28</f>
        <v>#N/A</v>
      </c>
    </row>
    <row r="29" spans="1:6">
      <c r="A29" s="71">
        <v>27</v>
      </c>
      <c r="B29" s="71">
        <f>A29/100*'Termisk motstand'!$D$6/'Termisk motstand'!$D$17</f>
        <v>1.3900087053041936</v>
      </c>
      <c r="C29" s="71" t="e">
        <f t="shared" si="0"/>
        <v>#N/A</v>
      </c>
      <c r="D29" s="71" t="e">
        <f>'Termisk motstand'!$D$15*C29/(1+('Termisk motstand'!$D$15-1)*C29)</f>
        <v>#N/A</v>
      </c>
      <c r="E29" s="71" t="e">
        <f>('Termisk motstand'!$D$21-'Termisk motstand'!$D$22)*D29+'Termisk motstand'!$D$22</f>
        <v>#N/A</v>
      </c>
      <c r="F29" s="71" t="e">
        <f t="shared" si="2"/>
        <v>#N/A</v>
      </c>
    </row>
    <row r="30" spans="1:6">
      <c r="A30" s="71">
        <v>28</v>
      </c>
      <c r="B30" s="71">
        <f>A30/100*'Termisk motstand'!$D$6/'Termisk motstand'!$D$17</f>
        <v>1.4414905092043488</v>
      </c>
      <c r="C30" s="71" t="e">
        <f t="shared" si="0"/>
        <v>#N/A</v>
      </c>
      <c r="D30" s="71" t="e">
        <f>'Termisk motstand'!$D$15*C30/(1+('Termisk motstand'!$D$15-1)*C30)</f>
        <v>#N/A</v>
      </c>
      <c r="E30" s="71" t="e">
        <f>('Termisk motstand'!$D$21-'Termisk motstand'!$D$22)*D30+'Termisk motstand'!$D$22</f>
        <v>#N/A</v>
      </c>
      <c r="F30" s="71" t="e">
        <f t="shared" si="2"/>
        <v>#N/A</v>
      </c>
    </row>
    <row r="31" spans="1:6">
      <c r="A31" s="71">
        <v>29</v>
      </c>
      <c r="B31" s="71">
        <f>A31/100*'Termisk motstand'!$D$6/'Termisk motstand'!$D$17</f>
        <v>1.4929723131045043</v>
      </c>
      <c r="C31" s="71" t="e">
        <f t="shared" si="0"/>
        <v>#N/A</v>
      </c>
      <c r="D31" s="71" t="e">
        <f>'Termisk motstand'!$D$15*C31/(1+('Termisk motstand'!$D$15-1)*C31)</f>
        <v>#N/A</v>
      </c>
      <c r="E31" s="71" t="e">
        <f>('Termisk motstand'!$D$21-'Termisk motstand'!$D$22)*D31+'Termisk motstand'!$D$22</f>
        <v>#N/A</v>
      </c>
      <c r="F31" s="71" t="e">
        <f t="shared" si="2"/>
        <v>#N/A</v>
      </c>
    </row>
    <row r="32" spans="1:6">
      <c r="A32" s="71">
        <v>30</v>
      </c>
      <c r="B32" s="71">
        <f>A32/100*'Termisk motstand'!$D$6/'Termisk motstand'!$D$17</f>
        <v>1.5444541170046595</v>
      </c>
      <c r="C32" s="71" t="e">
        <f t="shared" si="0"/>
        <v>#N/A</v>
      </c>
      <c r="D32" s="71" t="e">
        <f>'Termisk motstand'!$D$15*C32/(1+('Termisk motstand'!$D$15-1)*C32)</f>
        <v>#N/A</v>
      </c>
      <c r="E32" s="71" t="e">
        <f>('Termisk motstand'!$D$21-'Termisk motstand'!$D$22)*D32+'Termisk motstand'!$D$22</f>
        <v>#N/A</v>
      </c>
      <c r="F32" s="71" t="e">
        <f t="shared" si="2"/>
        <v>#N/A</v>
      </c>
    </row>
    <row r="33" spans="1:6">
      <c r="A33" s="71">
        <v>31</v>
      </c>
      <c r="B33" s="71">
        <f>A33/100*'Termisk motstand'!$D$6/'Termisk motstand'!$D$17</f>
        <v>1.5959359209048147</v>
      </c>
      <c r="C33" s="71" t="e">
        <f t="shared" si="0"/>
        <v>#N/A</v>
      </c>
      <c r="D33" s="71" t="e">
        <f>'Termisk motstand'!$D$15*C33/(1+('Termisk motstand'!$D$15-1)*C33)</f>
        <v>#N/A</v>
      </c>
      <c r="E33" s="71" t="e">
        <f>('Termisk motstand'!$D$21-'Termisk motstand'!$D$22)*D33+'Termisk motstand'!$D$22</f>
        <v>#N/A</v>
      </c>
      <c r="F33" s="71" t="e">
        <f t="shared" si="2"/>
        <v>#N/A</v>
      </c>
    </row>
    <row r="34" spans="1:6">
      <c r="A34" s="71">
        <v>32</v>
      </c>
      <c r="B34" s="71">
        <f>A34/100*'Termisk motstand'!$D$6/'Termisk motstand'!$D$17</f>
        <v>1.64741772480497</v>
      </c>
      <c r="C34" s="71" t="e">
        <f t="shared" si="0"/>
        <v>#N/A</v>
      </c>
      <c r="D34" s="71" t="e">
        <f>'Termisk motstand'!$D$15*C34/(1+('Termisk motstand'!$D$15-1)*C34)</f>
        <v>#N/A</v>
      </c>
      <c r="E34" s="71" t="e">
        <f>('Termisk motstand'!$D$21-'Termisk motstand'!$D$22)*D34+'Termisk motstand'!$D$22</f>
        <v>#N/A</v>
      </c>
      <c r="F34" s="71" t="e">
        <f t="shared" si="2"/>
        <v>#N/A</v>
      </c>
    </row>
    <row r="35" spans="1:6">
      <c r="A35" s="71">
        <v>33</v>
      </c>
      <c r="B35" s="71">
        <f>A35/100*'Termisk motstand'!$D$6/'Termisk motstand'!$D$17</f>
        <v>1.6988995287051256</v>
      </c>
      <c r="C35" s="71" t="e">
        <f t="shared" si="0"/>
        <v>#N/A</v>
      </c>
      <c r="D35" s="71" t="e">
        <f>'Termisk motstand'!$D$15*C35/(1+('Termisk motstand'!$D$15-1)*C35)</f>
        <v>#N/A</v>
      </c>
      <c r="E35" s="71" t="e">
        <f>('Termisk motstand'!$D$21-'Termisk motstand'!$D$22)*D35+'Termisk motstand'!$D$22</f>
        <v>#N/A</v>
      </c>
      <c r="F35" s="71" t="e">
        <f t="shared" si="2"/>
        <v>#N/A</v>
      </c>
    </row>
    <row r="36" spans="1:6">
      <c r="A36" s="71">
        <v>34</v>
      </c>
      <c r="B36" s="71">
        <f>A36/100*'Termisk motstand'!$D$6/'Termisk motstand'!$D$17</f>
        <v>1.7503813326052808</v>
      </c>
      <c r="C36" s="71" t="e">
        <f t="shared" si="0"/>
        <v>#N/A</v>
      </c>
      <c r="D36" s="71" t="e">
        <f>'Termisk motstand'!$D$15*C36/(1+('Termisk motstand'!$D$15-1)*C36)</f>
        <v>#N/A</v>
      </c>
      <c r="E36" s="71" t="e">
        <f>('Termisk motstand'!$D$21-'Termisk motstand'!$D$22)*D36+'Termisk motstand'!$D$22</f>
        <v>#N/A</v>
      </c>
      <c r="F36" s="71" t="e">
        <f t="shared" si="2"/>
        <v>#N/A</v>
      </c>
    </row>
    <row r="37" spans="1:6">
      <c r="A37" s="71">
        <v>35</v>
      </c>
      <c r="B37" s="71">
        <f>A37/100*'Termisk motstand'!$D$6/'Termisk motstand'!$D$17</f>
        <v>1.8018631365054358</v>
      </c>
      <c r="C37" s="71" t="e">
        <f t="shared" si="0"/>
        <v>#N/A</v>
      </c>
      <c r="D37" s="71" t="e">
        <f>'Termisk motstand'!$D$15*C37/(1+('Termisk motstand'!$D$15-1)*C37)</f>
        <v>#N/A</v>
      </c>
      <c r="E37" s="71" t="e">
        <f>('Termisk motstand'!$D$21-'Termisk motstand'!$D$22)*D37+'Termisk motstand'!$D$22</f>
        <v>#N/A</v>
      </c>
      <c r="F37" s="71" t="e">
        <f t="shared" si="2"/>
        <v>#N/A</v>
      </c>
    </row>
    <row r="38" spans="1:6">
      <c r="A38" s="71">
        <v>36</v>
      </c>
      <c r="B38" s="71">
        <f>A38/100*'Termisk motstand'!$D$6/'Termisk motstand'!$D$17</f>
        <v>1.8533449404055913</v>
      </c>
      <c r="C38" s="71" t="e">
        <f t="shared" si="0"/>
        <v>#N/A</v>
      </c>
      <c r="D38" s="71" t="e">
        <f>'Termisk motstand'!$D$15*C38/(1+('Termisk motstand'!$D$15-1)*C38)</f>
        <v>#N/A</v>
      </c>
      <c r="E38" s="71" t="e">
        <f>('Termisk motstand'!$D$21-'Termisk motstand'!$D$22)*D38+'Termisk motstand'!$D$22</f>
        <v>#N/A</v>
      </c>
      <c r="F38" s="71" t="e">
        <f t="shared" si="2"/>
        <v>#N/A</v>
      </c>
    </row>
    <row r="39" spans="1:6">
      <c r="A39" s="71">
        <v>37</v>
      </c>
      <c r="B39" s="71">
        <f>A39/100*'Termisk motstand'!$D$6/'Termisk motstand'!$D$17</f>
        <v>1.9048267443057467</v>
      </c>
      <c r="C39" s="71" t="e">
        <f t="shared" si="0"/>
        <v>#N/A</v>
      </c>
      <c r="D39" s="71" t="e">
        <f>'Termisk motstand'!$D$15*C39/(1+('Termisk motstand'!$D$15-1)*C39)</f>
        <v>#N/A</v>
      </c>
      <c r="E39" s="71" t="e">
        <f>('Termisk motstand'!$D$21-'Termisk motstand'!$D$22)*D39+'Termisk motstand'!$D$22</f>
        <v>#N/A</v>
      </c>
      <c r="F39" s="71" t="e">
        <f t="shared" si="2"/>
        <v>#N/A</v>
      </c>
    </row>
    <row r="40" spans="1:6">
      <c r="A40" s="71">
        <v>38</v>
      </c>
      <c r="B40" s="71">
        <f>A40/100*'Termisk motstand'!$D$6/'Termisk motstand'!$D$17</f>
        <v>1.9563085482059022</v>
      </c>
      <c r="C40" s="71" t="e">
        <f t="shared" si="0"/>
        <v>#N/A</v>
      </c>
      <c r="D40" s="71" t="e">
        <f>'Termisk motstand'!$D$15*C40/(1+('Termisk motstand'!$D$15-1)*C40)</f>
        <v>#N/A</v>
      </c>
      <c r="E40" s="71" t="e">
        <f>('Termisk motstand'!$D$21-'Termisk motstand'!$D$22)*D40+'Termisk motstand'!$D$22</f>
        <v>#N/A</v>
      </c>
      <c r="F40" s="71" t="e">
        <f t="shared" si="2"/>
        <v>#N/A</v>
      </c>
    </row>
    <row r="41" spans="1:6">
      <c r="A41" s="71">
        <v>39</v>
      </c>
      <c r="B41" s="71">
        <f>A41/100*'Termisk motstand'!$D$6/'Termisk motstand'!$D$17</f>
        <v>2.0077903521060572</v>
      </c>
      <c r="C41" s="71" t="e">
        <f t="shared" si="0"/>
        <v>#N/A</v>
      </c>
      <c r="D41" s="71" t="e">
        <f>'Termisk motstand'!$D$15*C41/(1+('Termisk motstand'!$D$15-1)*C41)</f>
        <v>#N/A</v>
      </c>
      <c r="E41" s="71" t="e">
        <f>('Termisk motstand'!$D$21-'Termisk motstand'!$D$22)*D41+'Termisk motstand'!$D$22</f>
        <v>#N/A</v>
      </c>
      <c r="F41" s="71" t="e">
        <f t="shared" si="2"/>
        <v>#N/A</v>
      </c>
    </row>
    <row r="42" spans="1:6">
      <c r="A42" s="71">
        <v>40</v>
      </c>
      <c r="B42" s="71">
        <f>A42/100*'Termisk motstand'!$D$6/'Termisk motstand'!$D$17</f>
        <v>2.0592721560062128</v>
      </c>
      <c r="C42" s="71" t="e">
        <f t="shared" si="0"/>
        <v>#N/A</v>
      </c>
      <c r="D42" s="71" t="e">
        <f>'Termisk motstand'!$D$15*C42/(1+('Termisk motstand'!$D$15-1)*C42)</f>
        <v>#N/A</v>
      </c>
      <c r="E42" s="71" t="e">
        <f>('Termisk motstand'!$D$21-'Termisk motstand'!$D$22)*D42+'Termisk motstand'!$D$22</f>
        <v>#N/A</v>
      </c>
      <c r="F42" s="71" t="e">
        <f t="shared" si="2"/>
        <v>#N/A</v>
      </c>
    </row>
    <row r="43" spans="1:6">
      <c r="A43" s="71">
        <v>41</v>
      </c>
      <c r="B43" s="71">
        <f>A43/100*'Termisk motstand'!$D$6/'Termisk motstand'!$D$17</f>
        <v>2.110753959906368</v>
      </c>
      <c r="C43" s="71" t="e">
        <f t="shared" si="0"/>
        <v>#N/A</v>
      </c>
      <c r="D43" s="71" t="e">
        <f>'Termisk motstand'!$D$15*C43/(1+('Termisk motstand'!$D$15-1)*C43)</f>
        <v>#N/A</v>
      </c>
      <c r="E43" s="71" t="e">
        <f>('Termisk motstand'!$D$21-'Termisk motstand'!$D$22)*D43+'Termisk motstand'!$D$22</f>
        <v>#N/A</v>
      </c>
      <c r="F43" s="71" t="e">
        <f t="shared" si="2"/>
        <v>#N/A</v>
      </c>
    </row>
    <row r="44" spans="1:6">
      <c r="A44" s="71">
        <v>42</v>
      </c>
      <c r="B44" s="71">
        <f>A44/100*'Termisk motstand'!$D$6/'Termisk motstand'!$D$17</f>
        <v>2.1622357638065233</v>
      </c>
      <c r="C44" s="71" t="e">
        <f t="shared" si="0"/>
        <v>#N/A</v>
      </c>
      <c r="D44" s="71" t="e">
        <f>'Termisk motstand'!$D$15*C44/(1+('Termisk motstand'!$D$15-1)*C44)</f>
        <v>#N/A</v>
      </c>
      <c r="E44" s="71" t="e">
        <f>('Termisk motstand'!$D$21-'Termisk motstand'!$D$22)*D44+'Termisk motstand'!$D$22</f>
        <v>#N/A</v>
      </c>
      <c r="F44" s="71" t="e">
        <f t="shared" si="2"/>
        <v>#N/A</v>
      </c>
    </row>
    <row r="45" spans="1:6">
      <c r="A45" s="72">
        <f>$I$2</f>
        <v>19.424338780735361</v>
      </c>
      <c r="B45" s="71">
        <f>A45/100*'Termisk motstand'!$D$6/'Termisk motstand'!$D$17</f>
        <v>0.99999999999999989</v>
      </c>
      <c r="C45" s="71">
        <f>IF(B45&lt;=1,B45,NA())</f>
        <v>0.99999999999999989</v>
      </c>
      <c r="D45" s="71">
        <f>'Termisk motstand'!$D$15*C45/(1+('Termisk motstand'!$D$15-1)*C45)</f>
        <v>0.99999999999999978</v>
      </c>
      <c r="E45" s="71">
        <f>('Termisk motstand'!$D$21-'Termisk motstand'!$D$22)*D45+'Termisk motstand'!$D$22</f>
        <v>1.3608055715610521</v>
      </c>
      <c r="F45" s="71">
        <f t="shared" ref="F45" si="3">1/E45</f>
        <v>0.73485883722010858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rpSiteZipContact xmlns="8bbd4995-53b7-43e2-b62f-10947586ac31" xsi:nil="true"/>
    <CorpSiteProjectLeader xmlns="8bbd4995-53b7-43e2-b62f-10947586ac31">
      <UserInfo>
        <DisplayName/>
        <AccountId xsi:nil="true"/>
        <AccountType/>
      </UserInfo>
    </CorpSiteProjectLeader>
    <CorpSiteSubTitle xmlns="8bbd4995-53b7-43e2-b62f-10947586ac31" xsi:nil="true"/>
    <CorpSiteTags xmlns="8bbd4995-53b7-43e2-b62f-10947586ac31" xsi:nil="true"/>
    <CorpSiteISBN xmlns="8bbd4995-53b7-43e2-b62f-10947586ac31" xsi:nil="true"/>
    <CorpWorkflowFeedback xmlns="8bbd4995-53b7-43e2-b62f-10947586ac31" xsi:nil="true"/>
    <CorpSiteAccess xmlns="8bbd4995-53b7-43e2-b62f-10947586ac31">Kun navngitte medlemmer</CorpSiteAccess>
    <CorpSiteRecipientPerson xmlns="8bbd4995-53b7-43e2-b62f-10947586ac31" xsi:nil="true"/>
    <CorpSiteProjectNumber xmlns="8bbd4995-53b7-43e2-b62f-10947586ac31" xsi:nil="true"/>
    <CorpSiteProjectName xmlns="8bbd4995-53b7-43e2-b62f-10947586ac31" xsi:nil="true"/>
    <CorpDocInstitute xmlns="8bbd4995-53b7-43e2-b62f-10947586ac31" xsi:nil="true"/>
    <CorpSiteInstitutePhone xmlns="8bbd4995-53b7-43e2-b62f-10947586ac31" xsi:nil="true"/>
    <CorpSiteProjectOwner xmlns="8bbd4995-53b7-43e2-b62f-10947586ac31">
      <UserInfo>
        <DisplayName/>
        <AccountId xsi:nil="true"/>
        <AccountType/>
      </UserInfo>
    </CorpSiteProjectOwner>
    <CorpDocPageClassificationNbNo xmlns="8bbd4995-53b7-43e2-b62f-10947586ac31">Åpen</CorpDocPageClassificationNbNo>
    <CorpDocClassificationEnUs xmlns="8bbd4995-53b7-43e2-b62f-10947586ac31">Unrestricted</CorpDocClassificationEnUs>
    <CorpDocClassificationNbNo xmlns="8bbd4995-53b7-43e2-b62f-10947586ac31">Åpen</CorpDocClassificationNbNo>
    <CorpWorkflowStatus xmlns="8bbd4995-53b7-43e2-b62f-10947586ac31" xsi:nil="true"/>
    <CorpSiteClassification xmlns="8bbd4995-53b7-43e2-b62f-10947586ac31">Åpen</CorpSiteClassification>
    <CorpSiteInstituteEmail xmlns="8bbd4995-53b7-43e2-b62f-10947586ac31" xsi:nil="true"/>
    <CorpSiteCoAuthors xmlns="8bbd4995-53b7-43e2-b62f-10947586ac31" xsi:nil="true"/>
    <CorpSiteDocumentAuthor xmlns="8bbd4995-53b7-43e2-b62f-10947586ac31">
      <UserInfo>
        <DisplayName/>
        <AccountId xsi:nil="true"/>
        <AccountType/>
      </UserInfo>
    </CorpSiteDocumentAuthor>
    <CorpSiteInstituteEnUs xmlns="8bbd4995-53b7-43e2-b62f-10947586ac31" xsi:nil="true"/>
    <CorpSiteRecipientCompany xmlns="8bbd4995-53b7-43e2-b62f-10947586ac31" xsi:nil="true"/>
    <CorpSiteDocLanguage xmlns="8bbd4995-53b7-43e2-b62f-10947586ac31" xsi:nil="true"/>
    <CorpDocVersion xmlns="8bbd4995-53b7-43e2-b62f-10947586ac31" xsi:nil="true"/>
    <CorpWorkflowApproval xmlns="8bbd4995-53b7-43e2-b62f-10947586ac31" xsi:nil="true"/>
    <ArchiveStatus xmlns="8bbd4995-53b7-43e2-b62f-10947586ac31" xsi:nil="true"/>
    <CorpSiteProjectQA xmlns="8bbd4995-53b7-43e2-b62f-10947586ac31">
      <UserInfo>
        <DisplayName/>
        <AccountId xsi:nil="true"/>
        <AccountType/>
      </UserInfo>
    </CorpSiteProjectQA>
    <CorpSiteZipAddress xmlns="8bbd4995-53b7-43e2-b62f-10947586ac31" xsi:nil="true"/>
    <CorpSiteVATNumber xmlns="8bbd4995-53b7-43e2-b62f-10947586ac31" xsi:nil="true"/>
    <CorpSiteReportNumber xmlns="8bbd4995-53b7-43e2-b62f-10947586ac31" xsi:nil="true"/>
    <CorpSiteOurRef xmlns="8bbd4995-53b7-43e2-b62f-10947586ac31" xsi:nil="true"/>
    <CorpDocPageClassificationEnUs xmlns="8bbd4995-53b7-43e2-b62f-10947586ac31">Unrestricted</CorpDocPageClassificationEn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31B82B69D2361148B4D8F7EC15680213080012B9967888055A46BB37450F5264E397" ma:contentTypeVersion="43" ma:contentTypeDescription="Opprett et nytt dokument." ma:contentTypeScope="" ma:versionID="75c7d13de2ab68af6b7542a2f8299e5f">
  <xsd:schema xmlns:xsd="http://www.w3.org/2001/XMLSchema" xmlns:xs="http://www.w3.org/2001/XMLSchema" xmlns:p="http://schemas.microsoft.com/office/2006/metadata/properties" xmlns:ns2="8bbd4995-53b7-43e2-b62f-10947586ac31" xmlns:ns3="2cdfdc9e-6d87-49aa-b16c-d844b1574e5e" xmlns:ns4="17ac2958-d056-4be2-aa89-a9840236e5de" targetNamespace="http://schemas.microsoft.com/office/2006/metadata/properties" ma:root="true" ma:fieldsID="dbc1fcb0c584eda189c6a1ccc208ff2d" ns2:_="" ns3:_="" ns4:_="">
    <xsd:import namespace="8bbd4995-53b7-43e2-b62f-10947586ac31"/>
    <xsd:import namespace="2cdfdc9e-6d87-49aa-b16c-d844b1574e5e"/>
    <xsd:import namespace="17ac2958-d056-4be2-aa89-a9840236e5de"/>
    <xsd:element name="properties">
      <xsd:complexType>
        <xsd:sequence>
          <xsd:element name="documentManagement">
            <xsd:complexType>
              <xsd:all>
                <xsd:element ref="ns2:ArchiveStatus" minOccurs="0"/>
                <xsd:element ref="ns2:CorpWorkflowApproval" minOccurs="0"/>
                <xsd:element ref="ns2:CorpWorkflowFeedback" minOccurs="0"/>
                <xsd:element ref="ns2:CorpSiteProjectNumber" minOccurs="0"/>
                <xsd:element ref="ns2:CorpSiteProjectName" minOccurs="0"/>
                <xsd:element ref="ns2:CorpSiteSubTitle" minOccurs="0"/>
                <xsd:element ref="ns2:CorpSiteAccess" minOccurs="0"/>
                <xsd:element ref="ns2:CorpSiteClassification" minOccurs="0"/>
                <xsd:element ref="ns2:CorpSiteTags" minOccurs="0"/>
                <xsd:element ref="ns2:CorpSiteProjectQA" minOccurs="0"/>
                <xsd:element ref="ns2:CorpSiteProjectOwner" minOccurs="0"/>
                <xsd:element ref="ns2:CorpSiteProjectLeader" minOccurs="0"/>
                <xsd:element ref="ns2:CorpSiteReportNumber" minOccurs="0"/>
                <xsd:element ref="ns2:CorpSiteISBN" minOccurs="0"/>
                <xsd:element ref="ns2:CorpSiteCoAuthors" minOccurs="0"/>
                <xsd:element ref="ns2:CorpSiteRecipientCompany" minOccurs="0"/>
                <xsd:element ref="ns2:CorpSiteRecipientPerson" minOccurs="0"/>
                <xsd:element ref="ns2:CorpSiteOurRef" minOccurs="0"/>
                <xsd:element ref="ns2:CorpSiteDocumentAuthor" minOccurs="0"/>
                <xsd:element ref="ns2:CorpSiteZipAddress" minOccurs="0"/>
                <xsd:element ref="ns2:CorpSiteZipContact" minOccurs="0"/>
                <xsd:element ref="ns2:CorpSiteVATNumber" minOccurs="0"/>
                <xsd:element ref="ns2:CorpSiteInstituteEmail" minOccurs="0"/>
                <xsd:element ref="ns2:CorpDocPageClassificationNbNo" minOccurs="0"/>
                <xsd:element ref="ns2:CorpDocClassificationEnUs" minOccurs="0"/>
                <xsd:element ref="ns2:CorpDocPageClassificationEnUs" minOccurs="0"/>
                <xsd:element ref="ns2:CorpDocClassificationNbNo" minOccurs="0"/>
                <xsd:element ref="ns2:CorpSiteInstituteEnUs" minOccurs="0"/>
                <xsd:element ref="ns2:CorpSiteInstitutePhone" minOccurs="0"/>
                <xsd:element ref="ns2:CorpSiteDocLanguage" minOccurs="0"/>
                <xsd:element ref="ns2:CorpDocInstitute" minOccurs="0"/>
                <xsd:element ref="ns2:CorpDocVers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2:CorpWorkflow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d4995-53b7-43e2-b62f-10947586ac31" elementFormDefault="qualified">
    <xsd:import namespace="http://schemas.microsoft.com/office/2006/documentManagement/types"/>
    <xsd:import namespace="http://schemas.microsoft.com/office/infopath/2007/PartnerControls"/>
    <xsd:element name="ArchiveStatus" ma:index="8" nillable="true" ma:displayName="Arkivstatus" ma:internalName="ArchiveStatus">
      <xsd:simpleType>
        <xsd:restriction base="dms:Text">
          <xsd:maxLength value="255"/>
        </xsd:restriction>
      </xsd:simpleType>
    </xsd:element>
    <xsd:element name="CorpWorkflowApproval" ma:index="9" nillable="true" ma:displayName="Status godkjenning" ma:internalName="CorpWorkflowApproval">
      <xsd:simpleType>
        <xsd:restriction base="dms:Text">
          <xsd:maxLength value="255"/>
        </xsd:restriction>
      </xsd:simpleType>
    </xsd:element>
    <xsd:element name="CorpWorkflowFeedback" ma:index="10" nillable="true" ma:displayName="Status kvalitetssikring" ma:internalName="CorpWorkflowFeedback">
      <xsd:simpleType>
        <xsd:restriction base="dms:Text">
          <xsd:maxLength value="255"/>
        </xsd:restriction>
      </xsd:simpleType>
    </xsd:element>
    <xsd:element name="CorpSiteProjectNumber" ma:index="11" nillable="true" ma:displayName="Prosjektnummer" ma:default="" ma:internalName="CorpSiteProjectNumber">
      <xsd:simpleType>
        <xsd:restriction base="dms:Text">
          <xsd:maxLength value="255"/>
        </xsd:restriction>
      </xsd:simpleType>
    </xsd:element>
    <xsd:element name="CorpSiteProjectName" ma:index="12" nillable="true" ma:displayName="Prosjektnavn" ma:internalName="CorpSiteProjectName">
      <xsd:simpleType>
        <xsd:restriction base="dms:Text">
          <xsd:maxLength value="255"/>
        </xsd:restriction>
      </xsd:simpleType>
    </xsd:element>
    <xsd:element name="CorpSiteSubTitle" ma:index="13" nillable="true" ma:displayName="Undertittel" ma:internalName="CorpSiteSubTitle">
      <xsd:simpleType>
        <xsd:restriction base="dms:Text">
          <xsd:maxLength value="255"/>
        </xsd:restriction>
      </xsd:simpleType>
    </xsd:element>
    <xsd:element name="CorpSiteAccess" ma:index="14" nillable="true" ma:displayName="Lesetilgang" ma:default="Kun navngitte medlemmer" ma:format="Dropdown" ma:internalName="CorpSiteAccess">
      <xsd:simpleType>
        <xsd:restriction base="dms:Choice">
          <xsd:enumeration value="Kun navngitte medlemmer"/>
          <xsd:enumeration value="SINTEF"/>
          <xsd:enumeration value="Institutt"/>
          <xsd:enumeration value="Avdeling"/>
          <xsd:maxLength value="255"/>
        </xsd:restriction>
      </xsd:simpleType>
    </xsd:element>
    <xsd:element name="CorpSiteClassification" ma:index="15" nillable="true" ma:displayName="Gradering" ma:default="Åpen" ma:internalName="CorpSiteClassification">
      <xsd:simpleType>
        <xsd:restriction base="dms:Choice">
          <xsd:enumeration value="Åpen"/>
          <xsd:enumeration value="Fortrolig"/>
          <xsd:enumeration value="Strengt fortrolig"/>
          <xsd:maxLength value="255"/>
        </xsd:restriction>
      </xsd:simpleType>
    </xsd:element>
    <xsd:element name="CorpSiteTags" ma:index="16" nillable="true" ma:displayName="Tags" ma:internalName="CorpSiteTags">
      <xsd:simpleType>
        <xsd:restriction base="dms:Text">
          <xsd:maxLength value="255"/>
        </xsd:restriction>
      </xsd:simpleType>
    </xsd:element>
    <xsd:element name="CorpSiteProjectQA" ma:index="17" nillable="true" ma:displayName="Kvalitestsansvarlig" ma:list="UserInfo" ma:SharePointGroup="0" ma:internalName="CorpSiteProjectQ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rpSiteProjectOwner" ma:index="18" nillable="true" ma:displayName="Prosjekteier" ma:list="UserInfo" ma:SharePointGroup="0" ma:internalName="CorpSiteProject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rpSiteProjectLeader" ma:index="19" nillable="true" ma:displayName="Prosjektleder" ma:list="UserInfo" ma:SharePointGroup="0" ma:internalName="CorpSiteProjectLead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rpSiteReportNumber" ma:index="20" nillable="true" ma:displayName="Rapport nummer" ma:internalName="CorpSiteReportNumber">
      <xsd:simpleType>
        <xsd:restriction base="dms:Text">
          <xsd:maxLength value="255"/>
        </xsd:restriction>
      </xsd:simpleType>
    </xsd:element>
    <xsd:element name="CorpSiteISBN" ma:index="21" nillable="true" ma:displayName="ISBN" ma:internalName="CorpSiteISBN">
      <xsd:simpleType>
        <xsd:restriction base="dms:Text">
          <xsd:maxLength value="255"/>
        </xsd:restriction>
      </xsd:simpleType>
    </xsd:element>
    <xsd:element name="CorpSiteCoAuthors" ma:index="22" nillable="true" ma:displayName="Medforfattere" ma:internalName="CorpSiteCoAuthors">
      <xsd:simpleType>
        <xsd:restriction base="dms:Text">
          <xsd:maxLength value="255"/>
        </xsd:restriction>
      </xsd:simpleType>
    </xsd:element>
    <xsd:element name="CorpSiteRecipientCompany" ma:index="23" nillable="true" ma:displayName="Mottakende selskap" ma:internalName="CorpSiteRecipientCompany">
      <xsd:simpleType>
        <xsd:restriction base="dms:Text">
          <xsd:maxLength value="255"/>
        </xsd:restriction>
      </xsd:simpleType>
    </xsd:element>
    <xsd:element name="CorpSiteRecipientPerson" ma:index="24" nillable="true" ma:displayName="Mottakende person" ma:internalName="CorpSiteRecipientPerson">
      <xsd:simpleType>
        <xsd:restriction base="dms:Text">
          <xsd:maxLength value="255"/>
        </xsd:restriction>
      </xsd:simpleType>
    </xsd:element>
    <xsd:element name="CorpSiteOurRef" ma:index="25" nillable="true" ma:displayName="Vår ref" ma:internalName="CorpSiteOurRef">
      <xsd:simpleType>
        <xsd:restriction base="dms:Text">
          <xsd:maxLength value="255"/>
        </xsd:restriction>
      </xsd:simpleType>
    </xsd:element>
    <xsd:element name="CorpSiteDocumentAuthor" ma:index="26" nillable="true" ma:displayName="Hovedforfatter" ma:internalName="CorpSiteDocumentAuth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rpSiteZipAddress" ma:index="27" nillable="true" ma:displayName="Adresse" ma:internalName="CorpSiteZipAddress">
      <xsd:simpleType>
        <xsd:restriction base="dms:Note">
          <xsd:maxLength value="255"/>
        </xsd:restriction>
      </xsd:simpleType>
    </xsd:element>
    <xsd:element name="CorpSiteZipContact" ma:index="28" nillable="true" ma:displayName="Kontakt" ma:internalName="CorpSiteZipContact">
      <xsd:simpleType>
        <xsd:restriction base="dms:Note">
          <xsd:maxLength value="255"/>
        </xsd:restriction>
      </xsd:simpleType>
    </xsd:element>
    <xsd:element name="CorpSiteVATNumber" ma:index="29" nillable="true" ma:displayName="Foretaksnummer" ma:internalName="CorpSiteVATNumber">
      <xsd:simpleType>
        <xsd:restriction base="dms:Text">
          <xsd:maxLength value="255"/>
        </xsd:restriction>
      </xsd:simpleType>
    </xsd:element>
    <xsd:element name="CorpSiteInstituteEmail" ma:index="30" nillable="true" ma:displayName="E-post institutt" ma:internalName="CorpSiteInstituteEmail">
      <xsd:simpleType>
        <xsd:restriction base="dms:Text">
          <xsd:maxLength value="255"/>
        </xsd:restriction>
      </xsd:simpleType>
    </xsd:element>
    <xsd:element name="CorpDocPageClassificationNbNo" ma:index="31" nillable="true" ma:displayName="Gradering Denne Siden" ma:default="Åpen" ma:internalName="CorpDocPageClassificationNbNo">
      <xsd:simpleType>
        <xsd:restriction base="dms:Choice">
          <xsd:enumeration value="Åpen"/>
          <xsd:enumeration value="Intern"/>
          <xsd:enumeration value="Fortrolig"/>
          <xsd:enumeration value="Strengt fortrolig"/>
          <xsd:maxLength value="255"/>
        </xsd:restriction>
      </xsd:simpleType>
    </xsd:element>
    <xsd:element name="CorpDocClassificationEnUs" ma:index="32" nillable="true" ma:displayName="Classification" ma:default="Unrestricted" ma:internalName="CorpDocClassificationEnUs">
      <xsd:simpleType>
        <xsd:restriction base="dms:Choice">
          <xsd:enumeration value="Unrestricted"/>
          <xsd:enumeration value="Internal"/>
          <xsd:enumeration value="Restricted"/>
          <xsd:enumeration value="Confidential"/>
          <xsd:maxLength value="255"/>
        </xsd:restriction>
      </xsd:simpleType>
    </xsd:element>
    <xsd:element name="CorpDocPageClassificationEnUs" ma:index="33" nillable="true" ma:displayName="Classification This Page" ma:default="Unrestricted" ma:internalName="CorpDocPageClassificationEnUs">
      <xsd:simpleType>
        <xsd:restriction base="dms:Choice">
          <xsd:enumeration value="Unrestricted"/>
          <xsd:enumeration value="Internal"/>
          <xsd:enumeration value="Restricted"/>
          <xsd:enumeration value="Confidential"/>
          <xsd:maxLength value="255"/>
        </xsd:restriction>
      </xsd:simpleType>
    </xsd:element>
    <xsd:element name="CorpDocClassificationNbNo" ma:index="34" nillable="true" ma:displayName="Gradering" ma:default="Åpen" ma:internalName="CorpDocClassificationNbNo">
      <xsd:simpleType>
        <xsd:restriction base="dms:Choice">
          <xsd:enumeration value="Åpen"/>
          <xsd:enumeration value="Intern"/>
          <xsd:enumeration value="Fortrolig"/>
          <xsd:enumeration value="Strengt fortrolig"/>
          <xsd:maxLength value="255"/>
        </xsd:restriction>
      </xsd:simpleType>
    </xsd:element>
    <xsd:element name="CorpSiteInstituteEnUs" ma:index="35" nillable="true" ma:displayName="InstituteEng" ma:internalName="CorpSiteInstituteEnUs">
      <xsd:simpleType>
        <xsd:restriction base="dms:Text">
          <xsd:maxLength value="255"/>
        </xsd:restriction>
      </xsd:simpleType>
    </xsd:element>
    <xsd:element name="CorpSiteInstitutePhone" ma:index="36" nillable="true" ma:displayName="Institutt telefon" ma:internalName="CorpSiteInstitutePhone">
      <xsd:simpleType>
        <xsd:restriction base="dms:Text">
          <xsd:maxLength value="255"/>
        </xsd:restriction>
      </xsd:simpleType>
    </xsd:element>
    <xsd:element name="CorpSiteDocLanguage" ma:index="37" nillable="true" ma:displayName="Språk" ma:internalName="CorpSiteDocLanguage">
      <xsd:simpleType>
        <xsd:restriction base="dms:Text">
          <xsd:maxLength value="255"/>
        </xsd:restriction>
      </xsd:simpleType>
    </xsd:element>
    <xsd:element name="CorpDocInstitute" ma:index="38" nillable="true" ma:displayName="Institutt" ma:internalName="CorpDocInstitute">
      <xsd:simpleType>
        <xsd:restriction base="dms:Text">
          <xsd:maxLength value="255"/>
        </xsd:restriction>
      </xsd:simpleType>
    </xsd:element>
    <xsd:element name="CorpDocVersion" ma:index="39" nillable="true" ma:displayName="Versjon" ma:internalName="CorpDocVersion">
      <xsd:simpleType>
        <xsd:restriction base="dms:Text">
          <xsd:maxLength value="255"/>
        </xsd:restriction>
      </xsd:simpleType>
    </xsd:element>
    <xsd:element name="CorpWorkflowStatus" ma:index="48" nillable="true" ma:displayName="Status arbeidsflyt" ma:internalName="CorpWorkflow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dfdc9e-6d87-49aa-b16c-d844b1574e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42" nillable="true" ma:displayName="Tags" ma:internalName="MediaServiceAutoTags" ma:readOnly="true">
      <xsd:simpleType>
        <xsd:restriction base="dms:Text"/>
      </xsd:simpleType>
    </xsd:element>
    <xsd:element name="MediaServiceOCR" ma:index="4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c2958-d056-4be2-aa89-a9840236e5de" elementFormDefault="qualified">
    <xsd:import namespace="http://schemas.microsoft.com/office/2006/documentManagement/types"/>
    <xsd:import namespace="http://schemas.microsoft.com/office/infopath/2007/PartnerControls"/>
    <xsd:element name="SharedWithUsers" ma:index="4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EFD71-0829-4E31-A77B-79859FA82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5A738-99D7-4411-B794-E968975CBB50}">
  <ds:schemaRefs>
    <ds:schemaRef ds:uri="2cdfdc9e-6d87-49aa-b16c-d844b1574e5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8bbd4995-53b7-43e2-b62f-10947586ac31"/>
    <ds:schemaRef ds:uri="17ac2958-d056-4be2-aa89-a9840236e5d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08139A-75C9-44FC-9993-7F4FF50FD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bd4995-53b7-43e2-b62f-10947586ac31"/>
    <ds:schemaRef ds:uri="2cdfdc9e-6d87-49aa-b16c-d844b1574e5e"/>
    <ds:schemaRef ds:uri="17ac2958-d056-4be2-aa89-a9840236e5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Tetthet</vt:lpstr>
      <vt:lpstr>Termisk motstand</vt:lpstr>
      <vt:lpstr>Tabeller</vt:lpstr>
      <vt:lpstr>Utregning</vt:lpstr>
    </vt:vector>
  </TitlesOfParts>
  <Company>SINTEF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Espen Eberg</dc:creator>
  <cp:lastModifiedBy>Marius Engebrethsen</cp:lastModifiedBy>
  <dcterms:created xsi:type="dcterms:W3CDTF">2016-06-24T10:37:02Z</dcterms:created>
  <dcterms:modified xsi:type="dcterms:W3CDTF">2020-10-05T10:32:30Z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0x01010031B82B69D2361148B4D8F7EC15680213080012B9967888055A46BB37450F5264E397</vt:lpwstr>
  </property>
</Properties>
</file>